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_DATEN_AGRIDEA\FIBL Soja-Bio\"/>
    </mc:Choice>
  </mc:AlternateContent>
  <bookViews>
    <workbookView xWindow="0" yWindow="0" windowWidth="21945" windowHeight="8115" activeTab="1"/>
  </bookViews>
  <sheets>
    <sheet name="Introduction" sheetId="14" r:id="rId1"/>
    <sheet name="Hypothèses" sheetId="13" r:id="rId2"/>
    <sheet name="Calculs" sheetId="9" r:id="rId3"/>
    <sheet name="Annex machines &amp; travail" sheetId="12" r:id="rId4"/>
    <sheet name="Q" sheetId="3" state="hidden" r:id="rId5"/>
  </sheets>
  <externalReferences>
    <externalReference r:id="rId6"/>
  </externalReferences>
  <definedNames>
    <definedName name="Assur." localSheetId="3">#REF!</definedName>
    <definedName name="Assur." localSheetId="2">#REF!</definedName>
    <definedName name="Assur." localSheetId="1">#REF!</definedName>
    <definedName name="Assur.">#REF!</definedName>
    <definedName name="Assur.2" localSheetId="3">#REF!</definedName>
    <definedName name="Assur.2" localSheetId="2">#REF!</definedName>
    <definedName name="Assur.2" localSheetId="1">#REF!</definedName>
    <definedName name="Assur.2">#REF!</definedName>
    <definedName name="Benzinpreis" localSheetId="3">#REF!</definedName>
    <definedName name="Benzinpreis" localSheetId="2">#REF!</definedName>
    <definedName name="Benzinpreis" localSheetId="1">#REF!</definedName>
    <definedName name="Benzinpreis">#REF!</definedName>
    <definedName name="BesitzMieteDritte">Q!$A$15:$A$17</definedName>
    <definedName name="Cacorr" localSheetId="3">#REF!</definedName>
    <definedName name="Cacorr" localSheetId="2">#REF!</definedName>
    <definedName name="Cacorr" localSheetId="1">#REF!</definedName>
    <definedName name="Cacorr">#REF!</definedName>
    <definedName name="Clcorr" localSheetId="3">#REF!</definedName>
    <definedName name="Clcorr" localSheetId="2">#REF!</definedName>
    <definedName name="Clcorr" localSheetId="1">#REF!</definedName>
    <definedName name="Clcorr">#REF!</definedName>
    <definedName name="colAkhEM" localSheetId="3">'Annex machines &amp; travail'!$I:$I</definedName>
    <definedName name="colAkhL" localSheetId="3">'Annex machines &amp; travail'!$N:$N</definedName>
    <definedName name="colArbeitsart" localSheetId="3">'Annex machines &amp; travail'!$P:$P</definedName>
    <definedName name="colD1" localSheetId="3">'Annex machines &amp; travail'!$B:$C</definedName>
    <definedName name="colEinheitD" localSheetId="3">'Annex machines &amp; travail'!$C:$C</definedName>
    <definedName name="colEinheitF" localSheetId="3">'Annex machines &amp; travail'!$E:$E</definedName>
    <definedName name="colF1" localSheetId="3">'Annex machines &amp; travail'!$D:$E</definedName>
    <definedName name="colKostenL" localSheetId="3">'Annex machines &amp; travail'!$L:$L</definedName>
    <definedName name="colKostenM" localSheetId="3">'Annex machines &amp; travail'!$K:$K</definedName>
    <definedName name="colNameD" localSheetId="3">'Annex machines &amp; travail'!$B:$B</definedName>
    <definedName name="colNameF" localSheetId="3">'Annex machines &amp; travail'!$D:$D</definedName>
    <definedName name="colNummer" localSheetId="3">'Annex machines &amp; travail'!$A:$A</definedName>
    <definedName name="colThEM" localSheetId="3">'Annex machines &amp; travail'!$G:$G</definedName>
    <definedName name="colThL" localSheetId="3">'Annex machines &amp; travail'!$O:$O</definedName>
    <definedName name="colTraktor" localSheetId="3">'Annex machines &amp; travail'!#REF!</definedName>
    <definedName name="colVariableKostenGeräteE" localSheetId="3">'Annex machines &amp; travail'!$J:$J</definedName>
    <definedName name="colVariableKostenZugkraftEM" localSheetId="3">'Annex machines &amp; travail'!$H:$H</definedName>
    <definedName name="colVariableKostenZugkraftL" localSheetId="3">'Annex machines &amp; travail'!$M:$M</definedName>
    <definedName name="Dieselpreis" localSheetId="3">#REF!</definedName>
    <definedName name="Dieselpreis" localSheetId="2">#REF!</definedName>
    <definedName name="Dieselpreis" localSheetId="1">#REF!</definedName>
    <definedName name="Dieselpreis">#REF!</definedName>
    <definedName name="_xlnm.Print_Area" localSheetId="3">'Annex machines &amp; travail'!$D$4:$L$80</definedName>
    <definedName name="_xlnm.Print_Area" localSheetId="2">Calculs!$A$1:$M$53</definedName>
    <definedName name="_xlnm.Print_Area" localSheetId="1">Hypothèses!$A$1:$Z$39</definedName>
    <definedName name="_xlnm.Print_Area" localSheetId="0">Introduction!#REF!</definedName>
    <definedName name="_xlnm.Print_Titles" localSheetId="3">'Annex machines &amp; travail'!$5:$5</definedName>
    <definedName name="entretien">#REF!</definedName>
    <definedName name="entretien_fumure">'Annex machines &amp; travail'!$D$22:$D$34</definedName>
    <definedName name="GPS">Q!$B$6:$B$7</definedName>
    <definedName name="hAnsatzLohnarbeit" localSheetId="3">'Annex machines &amp; travail'!#REF!</definedName>
    <definedName name="ID">"nicht identifiziert"</definedName>
    <definedName name="Index" localSheetId="3">'Annex machines &amp; travail'!#REF!</definedName>
    <definedName name="KCl" localSheetId="3">#REF!</definedName>
    <definedName name="KCl" localSheetId="2">#REF!</definedName>
    <definedName name="KCl" localSheetId="1">#REF!</definedName>
    <definedName name="KCl">#REF!</definedName>
    <definedName name="Kcorr" localSheetId="3">#REF!</definedName>
    <definedName name="Kcorr" localSheetId="2">#REF!</definedName>
    <definedName name="Kcorr" localSheetId="1">#REF!</definedName>
    <definedName name="Kcorr">#REF!</definedName>
    <definedName name="main_doeuvre">Q!$A$11:$A$12</definedName>
    <definedName name="Mgcorr" localSheetId="3">#REF!</definedName>
    <definedName name="Mgcorr" localSheetId="2">#REF!</definedName>
    <definedName name="Mgcorr" localSheetId="1">#REF!</definedName>
    <definedName name="Mgcorr">#REF!</definedName>
    <definedName name="Ncorr" localSheetId="3">#REF!</definedName>
    <definedName name="Ncorr" localSheetId="2">#REF!</definedName>
    <definedName name="Ncorr" localSheetId="1">#REF!</definedName>
    <definedName name="Ncorr">#REF!</definedName>
    <definedName name="Pcorr" localSheetId="3">#REF!</definedName>
    <definedName name="Pcorr" localSheetId="2">#REF!</definedName>
    <definedName name="Pcorr" localSheetId="1">#REF!</definedName>
    <definedName name="Pcorr">#REF!</definedName>
    <definedName name="propriété">Q!#REF!</definedName>
    <definedName name="récolte">'Annex machines &amp; travail'!$D$36:$D$43</definedName>
    <definedName name="Reparaturkostenfaktoranteil" localSheetId="3">#REF!</definedName>
    <definedName name="Reparaturkostenfaktoranteil" localSheetId="2">#REF!</definedName>
    <definedName name="Reparaturkostenfaktoranteil" localSheetId="1">#REF!</definedName>
    <definedName name="Reparaturkostenfaktoranteil">#REF!</definedName>
    <definedName name="rngErklärungenD" localSheetId="3">'Annex machines &amp; travail'!#REF!</definedName>
    <definedName name="rngErklärungenF" localSheetId="3">'Annex machines &amp; travail'!$66:$82</definedName>
    <definedName name="rngTitelD" localSheetId="3">'Annex machines &amp; travail'!$1:$3</definedName>
    <definedName name="rngTitelF" localSheetId="3">'Annex machines &amp; travail'!$4:$5</definedName>
    <definedName name="rowD1" localSheetId="3">'Annex machines &amp; travail'!$1:$3</definedName>
    <definedName name="rowD2" localSheetId="3">'Annex machines &amp; travail'!#REF!</definedName>
    <definedName name="rowF1" localSheetId="3">'Annex machines &amp; travail'!$4:$5</definedName>
    <definedName name="rowF2" localSheetId="3">'Annex machines &amp; travail'!$66:$82</definedName>
    <definedName name="sarcleuse">'Annex machines &amp; travail'!$D$29</definedName>
    <definedName name="Scorr" localSheetId="3">#REF!</definedName>
    <definedName name="Scorr" localSheetId="2">#REF!</definedName>
    <definedName name="Scorr" localSheetId="1">#REF!</definedName>
    <definedName name="Scorr">#REF!</definedName>
    <definedName name="semi">'Annex machines &amp; travail'!$D$7:$D$20</definedName>
    <definedName name="sol">#REF!</definedName>
    <definedName name="sol_et_semi">'Annex machines &amp; travail'!$D$7:$D$16</definedName>
    <definedName name="soll">#REF!</definedName>
    <definedName name="Sprachindex" localSheetId="3">#REF!</definedName>
    <definedName name="Sprachindex" localSheetId="2">#REF!</definedName>
    <definedName name="Sprachindex" localSheetId="1">#REF!</definedName>
    <definedName name="Sprachindex">#REF!</definedName>
    <definedName name="supplement_GPS">Q!$A$6:$A$7</definedName>
    <definedName name="supplément_GPS">Q!$A$6:$B$7</definedName>
    <definedName name="tracteurs">'Annex machines &amp; travail'!#REF!</definedName>
    <definedName name="traction">Q!#REF!</definedName>
    <definedName name="Traktor" localSheetId="3">'Annex machines &amp; travail'!#REF!</definedName>
    <definedName name="Traktor">'Annex machines &amp; travail'!$F$45:$H$65</definedName>
    <definedName name="Travail">Q!#REF!</definedName>
    <definedName name="travaux">Q!#REF!</definedName>
    <definedName name="travaux_100" localSheetId="3">'Annex machines &amp; travail'!$D$7:$D$16</definedName>
    <definedName name="travaux_100">#REF!</definedName>
    <definedName name="travaux_1000" localSheetId="3">'Annex machines &amp; travail'!#REF!</definedName>
    <definedName name="travaux_1000">#REF!</definedName>
    <definedName name="travaux_1100" localSheetId="3">'Annex machines &amp; travail'!#REF!</definedName>
    <definedName name="travaux_1100">#REF!</definedName>
    <definedName name="travaux_1200" localSheetId="3">'Annex machines &amp; travail'!#REF!</definedName>
    <definedName name="travaux_1200">#REF!</definedName>
    <definedName name="travaux_1300" localSheetId="3">'Annex machines &amp; travail'!#REF!</definedName>
    <definedName name="travaux_1300">#REF!</definedName>
    <definedName name="travaux_200" localSheetId="3">'Annex machines &amp; travail'!$D$11:$D$11</definedName>
    <definedName name="travaux_200">#REF!</definedName>
    <definedName name="travaux_300" localSheetId="3">'Annex machines &amp; travail'!$D$22:$D$31</definedName>
    <definedName name="travaux_300">#REF!</definedName>
    <definedName name="travaux_400" localSheetId="3">'Annex machines &amp; travail'!$D$34:$D$34</definedName>
    <definedName name="travaux_400">#REF!</definedName>
    <definedName name="travaux_500" localSheetId="3">'Annex machines &amp; travail'!#REF!</definedName>
    <definedName name="travaux_500">#REF!</definedName>
    <definedName name="travaux_600" localSheetId="3">'Annex machines &amp; travail'!#REF!</definedName>
    <definedName name="travaux_600">#REF!</definedName>
    <definedName name="travaux_700" localSheetId="3">'Annex machines &amp; travail'!$D$36:$D$37</definedName>
    <definedName name="travaux_700">#REF!</definedName>
    <definedName name="travaux_800" localSheetId="3">'Annex machines &amp; travail'!$D$38:$D$43</definedName>
    <definedName name="travaux_800">#REF!</definedName>
    <definedName name="travaux_900" localSheetId="3">'Annex machines &amp; travail'!#REF!</definedName>
    <definedName name="travaux_900">#REF!</definedName>
    <definedName name="travaux_manuels">'Annex machines &amp; travail'!#REF!</definedName>
    <definedName name="type">Q!#REF!</definedName>
    <definedName name="Verwertungsbeitrag" localSheetId="3">[1]Leistungen!#REF!</definedName>
    <definedName name="Verwertungsbeitrag" localSheetId="2">[1]Leistungen!#REF!</definedName>
    <definedName name="Verwertungsbeitrag" localSheetId="1">[1]Leistungen!#REF!</definedName>
    <definedName name="Verwertungsbeitrag">[1]Leistungen!#REF!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43" i="12" l="1"/>
  <c r="K43" i="12"/>
  <c r="I43" i="12"/>
  <c r="H43" i="12"/>
  <c r="K42" i="12"/>
  <c r="J41" i="12"/>
  <c r="J43" i="12" s="1"/>
  <c r="Q40" i="12"/>
  <c r="J40" i="12"/>
  <c r="J42" i="12" s="1"/>
  <c r="I40" i="12"/>
  <c r="H40" i="12"/>
  <c r="Q20" i="12"/>
  <c r="H20" i="12"/>
  <c r="I20" i="12" s="1"/>
  <c r="H19" i="12"/>
  <c r="I19" i="12" s="1"/>
  <c r="Q18" i="12"/>
  <c r="I18" i="12"/>
  <c r="H18" i="12"/>
  <c r="J2" i="9" l="1"/>
  <c r="E9" i="9" l="1"/>
  <c r="M9" i="9"/>
  <c r="F2" i="9" l="1"/>
  <c r="B2" i="9"/>
  <c r="L39" i="12" l="1"/>
  <c r="K39" i="12"/>
  <c r="J39" i="12"/>
  <c r="L37" i="12"/>
  <c r="K37" i="12"/>
  <c r="J37" i="12"/>
  <c r="H7" i="12"/>
  <c r="H8" i="12"/>
  <c r="H9" i="12"/>
  <c r="H10" i="12"/>
  <c r="H11" i="12"/>
  <c r="H12" i="12"/>
  <c r="H13" i="12"/>
  <c r="H14" i="12"/>
  <c r="H15" i="12"/>
  <c r="H16" i="12"/>
  <c r="H17" i="12"/>
  <c r="L30" i="12" l="1"/>
  <c r="K30" i="12"/>
  <c r="L28" i="12"/>
  <c r="K28" i="12"/>
  <c r="L26" i="12"/>
  <c r="K26" i="12"/>
  <c r="J30" i="12"/>
  <c r="J28" i="12"/>
  <c r="J26" i="12"/>
  <c r="Q28" i="12" l="1"/>
  <c r="H28" i="12"/>
  <c r="I28" i="12" s="1"/>
  <c r="Q26" i="12"/>
  <c r="H26" i="12"/>
  <c r="I26" i="12" s="1"/>
  <c r="Z27" i="13"/>
  <c r="Z26" i="13"/>
  <c r="Z25" i="13"/>
  <c r="Z24" i="13"/>
  <c r="Z23" i="13"/>
  <c r="Q27" i="13"/>
  <c r="Q26" i="13"/>
  <c r="Q25" i="13"/>
  <c r="Q23" i="13"/>
  <c r="H24" i="13"/>
  <c r="H25" i="13"/>
  <c r="H26" i="13"/>
  <c r="H27" i="13"/>
  <c r="H23" i="13"/>
  <c r="Z19" i="13"/>
  <c r="Z18" i="13"/>
  <c r="Z17" i="13"/>
  <c r="Z16" i="13"/>
  <c r="Z15" i="13"/>
  <c r="Q19" i="13"/>
  <c r="Q18" i="13"/>
  <c r="H18" i="13"/>
  <c r="H19" i="13"/>
  <c r="Z11" i="13"/>
  <c r="Z10" i="13"/>
  <c r="Z9" i="13"/>
  <c r="Z8" i="13"/>
  <c r="Z7" i="13"/>
  <c r="Q11" i="13"/>
  <c r="Q10" i="13"/>
  <c r="Q9" i="13"/>
  <c r="H10" i="13"/>
  <c r="H11" i="13"/>
  <c r="H16" i="13" l="1"/>
  <c r="E7" i="13"/>
  <c r="G24" i="12"/>
  <c r="H38" i="12" l="1"/>
  <c r="H39" i="12"/>
  <c r="I39" i="12" s="1"/>
  <c r="I17" i="12"/>
  <c r="I16" i="12"/>
  <c r="I15" i="12"/>
  <c r="I14" i="12"/>
  <c r="I13" i="12"/>
  <c r="I12" i="12"/>
  <c r="I11" i="12"/>
  <c r="I8" i="12"/>
  <c r="H33" i="12"/>
  <c r="I33" i="12" s="1"/>
  <c r="H32" i="12"/>
  <c r="I32" i="12" s="1"/>
  <c r="H31" i="12"/>
  <c r="I31" i="12" s="1"/>
  <c r="H30" i="12"/>
  <c r="I30" i="12" s="1"/>
  <c r="H29" i="12"/>
  <c r="H27" i="12"/>
  <c r="I27" i="12" s="1"/>
  <c r="H25" i="12"/>
  <c r="H24" i="12"/>
  <c r="H23" i="12"/>
  <c r="I23" i="12" s="1"/>
  <c r="H22" i="12"/>
  <c r="H36" i="12"/>
  <c r="I36" i="12" s="1"/>
  <c r="H37" i="12"/>
  <c r="I37" i="12" s="1"/>
  <c r="D38" i="9"/>
  <c r="C38" i="9"/>
  <c r="B38" i="9"/>
  <c r="H38" i="9"/>
  <c r="J38" i="9"/>
  <c r="K38" i="9"/>
  <c r="G38" i="9"/>
  <c r="F38" i="9"/>
  <c r="D39" i="13"/>
  <c r="I29" i="12" l="1"/>
  <c r="Q17" i="13"/>
  <c r="H17" i="13"/>
  <c r="I9" i="12"/>
  <c r="H8" i="13"/>
  <c r="I24" i="12"/>
  <c r="Q15" i="13"/>
  <c r="I7" i="12"/>
  <c r="Q7" i="13"/>
  <c r="H7" i="13"/>
  <c r="I38" i="12"/>
  <c r="Q24" i="13"/>
  <c r="I22" i="12"/>
  <c r="H15" i="13"/>
  <c r="I10" i="12"/>
  <c r="Q8" i="13"/>
  <c r="H9" i="13"/>
  <c r="I25" i="12"/>
  <c r="Q16" i="13"/>
  <c r="Q33" i="12"/>
  <c r="Z30" i="13"/>
  <c r="Z28" i="13"/>
  <c r="M33" i="9" s="1"/>
  <c r="E11" i="13"/>
  <c r="E10" i="13"/>
  <c r="E9" i="13"/>
  <c r="E8" i="13"/>
  <c r="Q28" i="13" l="1"/>
  <c r="M8" i="9"/>
  <c r="I8" i="9"/>
  <c r="E8" i="9"/>
  <c r="Z36" i="13"/>
  <c r="Q36" i="13"/>
  <c r="Q35" i="13"/>
  <c r="H36" i="13"/>
  <c r="H35" i="13"/>
  <c r="H28" i="13"/>
  <c r="I38" i="9" l="1"/>
  <c r="E38" i="9"/>
  <c r="AC18" i="13"/>
  <c r="AC19" i="13"/>
  <c r="AC15" i="13"/>
  <c r="AB16" i="13"/>
  <c r="AB18" i="13"/>
  <c r="AB19" i="13"/>
  <c r="AB15" i="13"/>
  <c r="AA18" i="13"/>
  <c r="AA19" i="13"/>
  <c r="AA15" i="13"/>
  <c r="AC8" i="13"/>
  <c r="AC10" i="13"/>
  <c r="AC11" i="13"/>
  <c r="AC7" i="13"/>
  <c r="AB8" i="13"/>
  <c r="AB9" i="13"/>
  <c r="AB10" i="13"/>
  <c r="AB11" i="13"/>
  <c r="AB7" i="13"/>
  <c r="AA8" i="13"/>
  <c r="AA9" i="13"/>
  <c r="AA10" i="13"/>
  <c r="AA11" i="13"/>
  <c r="H30" i="13" l="1"/>
  <c r="AB17" i="13"/>
  <c r="AA17" i="13"/>
  <c r="AC9" i="13"/>
  <c r="Q34" i="12"/>
  <c r="Q32" i="12"/>
  <c r="Q31" i="12"/>
  <c r="Q17" i="12"/>
  <c r="Q12" i="12"/>
  <c r="J24" i="9" l="1"/>
  <c r="F24" i="9"/>
  <c r="B24" i="9"/>
  <c r="F23" i="9"/>
  <c r="F22" i="9"/>
  <c r="B23" i="9"/>
  <c r="B22" i="9"/>
  <c r="E22" i="9" s="1"/>
  <c r="Q30" i="13" l="1"/>
  <c r="AA7" i="13"/>
  <c r="AC16" i="13"/>
  <c r="AC17" i="13"/>
  <c r="AA16" i="13"/>
  <c r="M24" i="9"/>
  <c r="M23" i="9"/>
  <c r="M22" i="9"/>
  <c r="I24" i="9"/>
  <c r="I23" i="9"/>
  <c r="I22" i="9"/>
  <c r="E24" i="9"/>
  <c r="E23" i="9"/>
  <c r="M19" i="9"/>
  <c r="M18" i="9"/>
  <c r="I19" i="9"/>
  <c r="I18" i="9"/>
  <c r="E19" i="9"/>
  <c r="E18" i="9"/>
  <c r="M16" i="9"/>
  <c r="M15" i="9"/>
  <c r="M14" i="9"/>
  <c r="I16" i="9"/>
  <c r="I15" i="9"/>
  <c r="I14" i="9"/>
  <c r="E15" i="9"/>
  <c r="E16" i="9"/>
  <c r="E14" i="9"/>
  <c r="M12" i="9"/>
  <c r="M11" i="9"/>
  <c r="I12" i="9"/>
  <c r="I11" i="9"/>
  <c r="E12" i="9"/>
  <c r="E11" i="9"/>
  <c r="M6" i="9"/>
  <c r="M5" i="9"/>
  <c r="L21" i="9" s="1"/>
  <c r="M21" i="9" s="1"/>
  <c r="I9" i="9"/>
  <c r="I6" i="9"/>
  <c r="I5" i="9"/>
  <c r="I7" i="9" s="1"/>
  <c r="E6" i="9"/>
  <c r="E5" i="9"/>
  <c r="M7" i="9" l="1"/>
  <c r="M13" i="9"/>
  <c r="E17" i="9"/>
  <c r="M17" i="9"/>
  <c r="I17" i="9"/>
  <c r="M20" i="9"/>
  <c r="I13" i="9"/>
  <c r="I20" i="9"/>
  <c r="E20" i="9"/>
  <c r="E13" i="9"/>
  <c r="H21" i="9"/>
  <c r="I21" i="9" s="1"/>
  <c r="I26" i="9" s="1"/>
  <c r="M26" i="9"/>
  <c r="M10" i="9"/>
  <c r="M35" i="9"/>
  <c r="Z29" i="13"/>
  <c r="M34" i="9" s="1"/>
  <c r="AC27" i="13"/>
  <c r="AB27" i="13"/>
  <c r="AA27" i="13"/>
  <c r="W27" i="13"/>
  <c r="N27" i="13"/>
  <c r="E27" i="13"/>
  <c r="AC26" i="13"/>
  <c r="AB26" i="13"/>
  <c r="AA26" i="13"/>
  <c r="W26" i="13"/>
  <c r="N26" i="13"/>
  <c r="E26" i="13"/>
  <c r="AC25" i="13"/>
  <c r="AB25" i="13"/>
  <c r="AA25" i="13"/>
  <c r="W25" i="13"/>
  <c r="N25" i="13"/>
  <c r="E25" i="13"/>
  <c r="AC24" i="13"/>
  <c r="AB24" i="13"/>
  <c r="AA24" i="13"/>
  <c r="W24" i="13"/>
  <c r="N24" i="13"/>
  <c r="E24" i="13"/>
  <c r="AC23" i="13"/>
  <c r="AB23" i="13"/>
  <c r="AA23" i="13"/>
  <c r="W23" i="13"/>
  <c r="Q29" i="13"/>
  <c r="I34" i="9" s="1"/>
  <c r="N23" i="13"/>
  <c r="E23" i="13"/>
  <c r="W19" i="13"/>
  <c r="N19" i="13"/>
  <c r="E19" i="13"/>
  <c r="W18" i="13"/>
  <c r="N18" i="13"/>
  <c r="E18" i="13"/>
  <c r="W17" i="13"/>
  <c r="I33" i="9"/>
  <c r="N17" i="13"/>
  <c r="E17" i="13"/>
  <c r="W16" i="13"/>
  <c r="N16" i="13"/>
  <c r="E16" i="13"/>
  <c r="W15" i="13"/>
  <c r="N15" i="13"/>
  <c r="E15" i="13"/>
  <c r="W11" i="13"/>
  <c r="N11" i="13"/>
  <c r="W10" i="13"/>
  <c r="N10" i="13"/>
  <c r="W9" i="13"/>
  <c r="N9" i="13"/>
  <c r="W8" i="13"/>
  <c r="N8" i="13"/>
  <c r="W7" i="13"/>
  <c r="N7" i="13"/>
  <c r="M31" i="9" l="1"/>
  <c r="M30" i="9"/>
  <c r="I30" i="9"/>
  <c r="Q37" i="13"/>
  <c r="H37" i="13"/>
  <c r="M37" i="9"/>
  <c r="H29" i="13"/>
  <c r="E34" i="9" s="1"/>
  <c r="I35" i="9"/>
  <c r="I37" i="9" s="1"/>
  <c r="AC28" i="13"/>
  <c r="AB28" i="13"/>
  <c r="AA28" i="13"/>
  <c r="I10" i="9"/>
  <c r="I31" i="9" s="1"/>
  <c r="B7" i="9"/>
  <c r="E7" i="9" s="1"/>
  <c r="E10" i="9" s="1"/>
  <c r="Q85" i="12"/>
  <c r="Q84" i="12"/>
  <c r="Q83" i="12"/>
  <c r="Q82" i="12"/>
  <c r="Q81" i="12"/>
  <c r="Q80" i="12"/>
  <c r="Q79" i="12"/>
  <c r="Q78" i="12"/>
  <c r="Q77" i="12"/>
  <c r="Q73" i="12"/>
  <c r="Q72" i="12"/>
  <c r="Q71" i="12"/>
  <c r="Q67" i="12"/>
  <c r="Q66" i="12"/>
  <c r="S39" i="12"/>
  <c r="Q39" i="12"/>
  <c r="Q38" i="12"/>
  <c r="Q37" i="12"/>
  <c r="Q36" i="12"/>
  <c r="Q35" i="12"/>
  <c r="Q27" i="12"/>
  <c r="Q25" i="12"/>
  <c r="Q24" i="12"/>
  <c r="Q30" i="12"/>
  <c r="Q29" i="12"/>
  <c r="Q22" i="12"/>
  <c r="Q23" i="12"/>
  <c r="Q21" i="12"/>
  <c r="Q11" i="12"/>
  <c r="Q8" i="12"/>
  <c r="Q16" i="12"/>
  <c r="Q15" i="12"/>
  <c r="Q14" i="12"/>
  <c r="Q13" i="12"/>
  <c r="Q10" i="12"/>
  <c r="Q9" i="12"/>
  <c r="Q7" i="12"/>
  <c r="H39" i="9" l="1"/>
  <c r="I39" i="9" s="1"/>
  <c r="I43" i="9" s="1"/>
  <c r="Z31" i="13"/>
  <c r="Z39" i="13" s="1"/>
  <c r="E33" i="9"/>
  <c r="Q31" i="13"/>
  <c r="Q39" i="13" s="1"/>
  <c r="E35" i="9"/>
  <c r="D21" i="9"/>
  <c r="E21" i="9" s="1"/>
  <c r="E26" i="9" s="1"/>
  <c r="E30" i="9" s="1"/>
  <c r="E37" i="9" l="1"/>
  <c r="I48" i="9"/>
  <c r="H31" i="13"/>
  <c r="H39" i="13" s="1"/>
  <c r="E31" i="9"/>
  <c r="D39" i="9" l="1"/>
  <c r="E39" i="9" s="1"/>
  <c r="E43" i="9" s="1"/>
  <c r="E48" i="9" s="1"/>
  <c r="Z35" i="13"/>
  <c r="Z37" i="13" s="1"/>
  <c r="L38" i="9"/>
  <c r="M38" i="9" s="1"/>
  <c r="L39" i="9" l="1"/>
  <c r="M39" i="9" s="1"/>
  <c r="M43" i="9" s="1"/>
  <c r="M48" i="9" s="1"/>
</calcChain>
</file>

<file path=xl/comments1.xml><?xml version="1.0" encoding="utf-8"?>
<comments xmlns="http://schemas.openxmlformats.org/spreadsheetml/2006/main">
  <authors>
    <author>Ein geschätzter Microsoft Office Anwender</author>
  </authors>
  <commentList>
    <comment ref="P3" authorId="0" shapeId="0">
      <text>
        <r>
          <rPr>
            <sz val="8"/>
            <color indexed="81"/>
            <rFont val="Tahoma"/>
            <family val="2"/>
          </rPr>
          <t xml:space="preserve"> 1       Anbau
 2       Pflege
 3       Ernte
 4       Vermarktung
 5       Restarbeit</t>
        </r>
      </text>
    </comment>
    <comment ref="P5" authorId="0" shapeId="0">
      <text>
        <r>
          <rPr>
            <sz val="8"/>
            <color indexed="81"/>
            <rFont val="Tahoma"/>
            <family val="2"/>
          </rPr>
          <t>1 Planter
2 Entretien
3 Récolte
4 Commércialisation
5 Travaux complément.</t>
        </r>
      </text>
    </comment>
  </commentList>
</comments>
</file>

<file path=xl/sharedStrings.xml><?xml version="1.0" encoding="utf-8"?>
<sst xmlns="http://schemas.openxmlformats.org/spreadsheetml/2006/main" count="613" uniqueCount="320">
  <si>
    <t>1 ha</t>
  </si>
  <si>
    <t>dt</t>
  </si>
  <si>
    <t>Contrib. cultures part. CCP</t>
  </si>
  <si>
    <t>Prestation (produit)</t>
  </si>
  <si>
    <t>Total fumure</t>
  </si>
  <si>
    <t>Total protection des plantes</t>
  </si>
  <si>
    <t>Total commercialisation</t>
  </si>
  <si>
    <t>Total coûts spécifiques</t>
  </si>
  <si>
    <t>MB comparable</t>
  </si>
  <si>
    <t>MB</t>
  </si>
  <si>
    <t>Contributions à la surface</t>
  </si>
  <si>
    <t>Contributions au paysage cultivé</t>
  </si>
  <si>
    <t>Agriculture biologique (terres ouvertes)</t>
  </si>
  <si>
    <t>MB y compris contributions</t>
  </si>
  <si>
    <t>h</t>
  </si>
  <si>
    <t>Maschinenkosten, Arbeits- und Zugkraftaufwand</t>
  </si>
  <si>
    <t>Eigen oder Miete</t>
  </si>
  <si>
    <t>Lohnarbeit</t>
  </si>
  <si>
    <t>Art*</t>
  </si>
  <si>
    <t>Quelle</t>
  </si>
  <si>
    <t>ART-Nummer</t>
  </si>
  <si>
    <t>Nr.</t>
  </si>
  <si>
    <t>Verfahren</t>
  </si>
  <si>
    <t>AE</t>
  </si>
  <si>
    <t>variable
Zugkr. k.
Fr./AE</t>
  </si>
  <si>
    <t>variable
Gerätek.
Fr./AE</t>
  </si>
  <si>
    <t>Miete
Gerät
Fr./AE</t>
  </si>
  <si>
    <t>Akh-Bedarf
Akh/AE</t>
  </si>
  <si>
    <t>Zugkr.-
Bedarf
Th/AE</t>
  </si>
  <si>
    <t>Fr./
AE</t>
  </si>
  <si>
    <t>var.
Zugk.
Fr./AE</t>
  </si>
  <si>
    <t>Akh/
AE</t>
  </si>
  <si>
    <t>Th/
AE</t>
  </si>
  <si>
    <t>1, 2, 
3, 4,
5</t>
  </si>
  <si>
    <t>Bemerkungen</t>
  </si>
  <si>
    <t>UT</t>
  </si>
  <si>
    <t>frais tract variab-les</t>
  </si>
  <si>
    <t>Moh/UT</t>
  </si>
  <si>
    <t>hT/
UT</t>
  </si>
  <si>
    <t>ART Maschinen-Nr.</t>
  </si>
  <si>
    <t>Bodenbearbeitung</t>
  </si>
  <si>
    <t>ha</t>
  </si>
  <si>
    <t>ART</t>
  </si>
  <si>
    <t>Pflege</t>
  </si>
  <si>
    <t>t</t>
  </si>
  <si>
    <t>Angaben pro Fuder/ 3t, Miststreuer+Mistlader</t>
  </si>
  <si>
    <t>6028+6042</t>
  </si>
  <si>
    <t>vo</t>
  </si>
  <si>
    <t>Ernte Getreide / Hackfrüchte</t>
  </si>
  <si>
    <t>7003+7023</t>
  </si>
  <si>
    <t>Abréviations</t>
  </si>
  <si>
    <t>Explications</t>
  </si>
  <si>
    <t xml:space="preserve">Les références concernant le coût d'utilisation des machines , les temps d'utilisation du matériel et les temps de travaux </t>
  </si>
  <si>
    <t>Les calculs sont basés sur un ha.</t>
  </si>
  <si>
    <t>par tiers</t>
  </si>
  <si>
    <t>propriété</t>
  </si>
  <si>
    <t>%</t>
  </si>
  <si>
    <t>X</t>
  </si>
  <si>
    <t>B</t>
  </si>
  <si>
    <t>location</t>
  </si>
  <si>
    <t>mode</t>
  </si>
  <si>
    <t>Frais machines variables liés à une location</t>
  </si>
  <si>
    <t>unité</t>
  </si>
  <si>
    <t>Entretien, désherbage et fumure</t>
  </si>
  <si>
    <t>Récolte et transport</t>
  </si>
  <si>
    <t>Entretien, fumure, désherbage</t>
  </si>
  <si>
    <t>Total frais de mécanisation variables</t>
  </si>
  <si>
    <t>Risque de perte</t>
  </si>
  <si>
    <t>Remarques</t>
  </si>
  <si>
    <t>Travaux manuels</t>
  </si>
  <si>
    <t>Total travaux manuels</t>
  </si>
  <si>
    <t>TOTAL mécanisation et travaux manuels</t>
  </si>
  <si>
    <t>Libre pour entrer des infos et remarques importantes pour la compréhension des hypothèses utilisées.</t>
  </si>
  <si>
    <t>Risque de perte : 1 année sur 6
Frais de séchage = 0.44 cts/dt + 0.60 cts/ ° d'humidité</t>
  </si>
  <si>
    <t>4-Schar-Pflug (30'000 fr.)</t>
  </si>
  <si>
    <t>Grubber mit Nachläufer, 3 m (15'000 fr.)</t>
  </si>
  <si>
    <t>Federzinkenegge mit Krümler, 3 m (8'300 fr.)</t>
  </si>
  <si>
    <t>Scheibenegge gezogen, 4 m (41'000 fr.)</t>
  </si>
  <si>
    <t>Kreiselegge mit Packerwalze, 3 m (20'000 fr.)</t>
  </si>
  <si>
    <t>Rauwalze, 3 m, einteilig, Dreipunktanbau (5'400 fr.)</t>
  </si>
  <si>
    <t>Einzelkornsämasch. f. Rüben, 6-reihig, 3 m (24'000 fr.)</t>
  </si>
  <si>
    <t>FIBL</t>
  </si>
  <si>
    <t>proche 4101 avec tracteur 1010</t>
  </si>
  <si>
    <t>A</t>
  </si>
  <si>
    <t>C</t>
  </si>
  <si>
    <t>proche 4040 avec tracteur 1010</t>
  </si>
  <si>
    <t>D</t>
  </si>
  <si>
    <t>Einzelkornsämasch. für Direktsaat, 6 Reihen, 3 m (40'000 fr.)</t>
  </si>
  <si>
    <t>Schälpflug, 2.7 m (23'000 fr.)</t>
  </si>
  <si>
    <t>Grossfederzinkenegge, 6 m (21'000 fr.)</t>
  </si>
  <si>
    <t>Präzisionsgrubber, 3 m (40'000 fr.)</t>
  </si>
  <si>
    <t>E</t>
  </si>
  <si>
    <t>Hackstriegel, 6 m (8'900 fr.)</t>
  </si>
  <si>
    <t>Hackstriegel, hydraulisch, 9 m (13'500 fr.)</t>
  </si>
  <si>
    <t>Rübenscharhackgerät, 6-reihig, 3 m, 2 Pers. (9'100 fr.)</t>
  </si>
  <si>
    <t>Grunddüngung, Schleuderstr. 500-1000 l (6'800 fr.)</t>
  </si>
  <si>
    <t>Misten, Hydrauliklader, 12 m3-Steuer, pro t (46'000 + 26'000 fr.)</t>
  </si>
  <si>
    <t>Anbaufeldspritze, 12 m, 600 l Fass (20'300 fr.)</t>
  </si>
  <si>
    <t>Einzelkornsämaschine für Rüben, 12-reihig</t>
  </si>
  <si>
    <t>G</t>
  </si>
  <si>
    <t>Rübenscharhackgerät, 6-reihig, 3 m, mit Kamerasteuerung (9'100 + 26'000 fr.)</t>
  </si>
  <si>
    <t>5121+5095</t>
  </si>
  <si>
    <t>H</t>
  </si>
  <si>
    <t>Rollstriegel, 6 m (23'000 fr.)</t>
  </si>
  <si>
    <t>proche 5092 avec tracteur 1003</t>
  </si>
  <si>
    <t>I</t>
  </si>
  <si>
    <t>J</t>
  </si>
  <si>
    <t>10 t-Tandemkipper hydr., 2-Achs in Fuder (28'000 fr.)</t>
  </si>
  <si>
    <t>10 t-Tandemkipper hydr., 2-Achs in h (28'000 fr.)</t>
  </si>
  <si>
    <t>Mähdrescher, 150 kW (Soja)</t>
  </si>
  <si>
    <t>Mähdrescher, 257 kW (Soja)</t>
  </si>
  <si>
    <t>7006+7025</t>
  </si>
  <si>
    <t>supplément GPS</t>
  </si>
  <si>
    <t>Main d'œuvre</t>
  </si>
  <si>
    <t>1</t>
  </si>
  <si>
    <t>2</t>
  </si>
  <si>
    <t>28 Fr./h : tarif exploitant</t>
  </si>
  <si>
    <t>49 Fr./h : tarif employé</t>
  </si>
  <si>
    <t>Tarif</t>
  </si>
  <si>
    <t>vo = voyage</t>
  </si>
  <si>
    <t>h = heure</t>
  </si>
  <si>
    <t>Annexe : Liste des machines</t>
  </si>
  <si>
    <t>www.coutsmachines.ch</t>
  </si>
  <si>
    <t>Rübenscharhackgerät mit Kress-Finger, 6 m (23'000 + 6'000 fr.)</t>
  </si>
  <si>
    <t>Rübenscharhackgerät mit Kress-Torsionzinken, 6 m (23'000 + 1'200 fr.)</t>
  </si>
  <si>
    <t>passages</t>
  </si>
  <si>
    <t>Désherbage manuel</t>
  </si>
  <si>
    <t>Location machines</t>
  </si>
  <si>
    <t>Travaux par tiers</t>
  </si>
  <si>
    <t xml:space="preserve"> </t>
  </si>
  <si>
    <t>Semence</t>
  </si>
  <si>
    <t>Assurance grêle</t>
  </si>
  <si>
    <t>Réception, conditionnement</t>
  </si>
  <si>
    <t>Contributions</t>
  </si>
  <si>
    <t>Travail du sol et semis</t>
  </si>
  <si>
    <t>Travaux  par tiers
Fr./
UT</t>
  </si>
  <si>
    <t>UT = Unités de travail</t>
  </si>
  <si>
    <t>oui</t>
  </si>
  <si>
    <t>non</t>
  </si>
  <si>
    <t>Supplément GPS?</t>
  </si>
  <si>
    <t>K</t>
  </si>
  <si>
    <t>Handarbeit 2. Person Bedienung</t>
  </si>
  <si>
    <t>Unité</t>
  </si>
  <si>
    <t>Passages</t>
  </si>
  <si>
    <t>Mode</t>
  </si>
  <si>
    <t>Calcul de la marge brute du soja bio</t>
  </si>
  <si>
    <t>Quantité</t>
  </si>
  <si>
    <t>Prix</t>
  </si>
  <si>
    <t>Montant</t>
  </si>
  <si>
    <t>Bactéries radicicoles (Rhizobium)</t>
  </si>
  <si>
    <t>Produit phytosanitaire</t>
  </si>
  <si>
    <t>Total semences</t>
  </si>
  <si>
    <t>Total charges spécifiques diverses</t>
  </si>
  <si>
    <t>Doses</t>
  </si>
  <si>
    <t>Sachet</t>
  </si>
  <si>
    <t>Achat fumier lisier/compost</t>
  </si>
  <si>
    <t>Engrais organiques du commerce</t>
  </si>
  <si>
    <t>Intérêt calculé (6 mois)</t>
  </si>
  <si>
    <t>Charges de contrôle et de label</t>
  </si>
  <si>
    <t>Contrib. à la sécurité de l'approvisionnement</t>
  </si>
  <si>
    <t>Travaux par tiers *</t>
  </si>
  <si>
    <t>Location machines *</t>
  </si>
  <si>
    <t>(* Selon les procédés définis dans la page "Hypothèses")</t>
  </si>
  <si>
    <t>Choix de l'itinéraire technique</t>
  </si>
  <si>
    <t>ha = hectare</t>
  </si>
  <si>
    <t>t = tonne</t>
  </si>
  <si>
    <t>Pour obtenir davantage de détails sur la méthodologie, vous pouvez consulter  :</t>
  </si>
  <si>
    <t>Besoin
traction
hT/UT</t>
  </si>
  <si>
    <t>Frais traction variables
Fr./UT</t>
  </si>
  <si>
    <t>Frais traction avec suppl. GPS</t>
  </si>
  <si>
    <t>Frais mach.
variables
Fr./UT</t>
  </si>
  <si>
    <t>Location
machine
Fr./UT</t>
  </si>
  <si>
    <t>Déchets</t>
  </si>
  <si>
    <t>Total frais de mécanisation *</t>
  </si>
  <si>
    <t>T</t>
  </si>
  <si>
    <t>Tracteurs</t>
  </si>
  <si>
    <t>Tracteur, 41 kW</t>
  </si>
  <si>
    <t>Tracteur, 41 kW, roues jumelées</t>
  </si>
  <si>
    <t>Tracteur, 50 kW</t>
  </si>
  <si>
    <t>Tracteur, 50 kW, roues jumelées</t>
  </si>
  <si>
    <t>Tracteur, 70 kW</t>
  </si>
  <si>
    <t>Tracteur, 70 kW, roues jumelées</t>
  </si>
  <si>
    <t>Tracteur, 82 kW</t>
  </si>
  <si>
    <t>Tracteur, 82 kW, roues jumelées</t>
  </si>
  <si>
    <t>Tracteur, 115 kW</t>
  </si>
  <si>
    <t>Tracteur, 115 kW, roues jumelées</t>
  </si>
  <si>
    <t>Tracteur étroit, 4 roues, 45 kW</t>
  </si>
  <si>
    <t>Chenillette, avec dispositif de levage, 44 kW</t>
  </si>
  <si>
    <t>Tracteur articulé, 40 kW</t>
  </si>
  <si>
    <t>Chenillette, 18 kW</t>
  </si>
  <si>
    <t>Pas de tracteur, uniquement trav. manuel (mettre 0)</t>
  </si>
  <si>
    <t>Roues jumelées, avant et arrière, &lt;64 kW</t>
  </si>
  <si>
    <t>Roues jumelées, avant et arrière, &gt;65 kW</t>
  </si>
  <si>
    <t>1+</t>
  </si>
  <si>
    <t>2+</t>
  </si>
  <si>
    <t>3+</t>
  </si>
  <si>
    <t>4+</t>
  </si>
  <si>
    <t>5+</t>
  </si>
  <si>
    <t>o</t>
  </si>
  <si>
    <t xml:space="preserve"> +</t>
  </si>
  <si>
    <t>Traktoren</t>
  </si>
  <si>
    <t>Traktor, 41 kW</t>
  </si>
  <si>
    <t>Traktor, 41 kW mit Doppelbereifung</t>
  </si>
  <si>
    <t>Traktor, 50 kW</t>
  </si>
  <si>
    <t>Traktor, 50 kW mit Doppelbereifung</t>
  </si>
  <si>
    <t>Traktor, 70 kW</t>
  </si>
  <si>
    <t>Traktor, 70 kW mit Doppelbereifung</t>
  </si>
  <si>
    <t>Traktor, 82 kW</t>
  </si>
  <si>
    <t>Traktor, 82 kW mit Doppelbereifung</t>
  </si>
  <si>
    <t>Traktor, 115 kW</t>
  </si>
  <si>
    <t>Traktor, 115 kW mit Doppelbereifung</t>
  </si>
  <si>
    <t>Schmalspurtraktor, 4-Rad, 45 kW</t>
  </si>
  <si>
    <t>Trägerfahrz. mit Raupen + Hubwerk, 44 kW</t>
  </si>
  <si>
    <t>Traktor mit Knicklenkung, 40 kW</t>
  </si>
  <si>
    <t>Trägerfahrzeug mit Raupen, 18 kW</t>
  </si>
  <si>
    <t>kein Traktor, nur Handarbeit (o eingeben)</t>
  </si>
  <si>
    <t>Doppelbereifung vorne + hinten, bis 64 kW</t>
  </si>
  <si>
    <t>Doppelbereifung vorne + hinten, ab 65 kW</t>
  </si>
  <si>
    <t>Zusatz GPS</t>
  </si>
  <si>
    <t>Supplement GPS</t>
  </si>
  <si>
    <t>GPS</t>
  </si>
  <si>
    <t>correspondent aux données du rapport "Coûts-machines 2018" d'Agroscope</t>
  </si>
  <si>
    <t>1a  Charrue quadrisocs</t>
  </si>
  <si>
    <t>1d  Vibroculteur avec rouleau émotteur, 3 m</t>
  </si>
  <si>
    <t>2a  Herse étrille, hydraulique, 9 m</t>
  </si>
  <si>
    <t>2d  Sarcleuse à betteraves avec doigts Kress, 6 rangs</t>
  </si>
  <si>
    <t>Kamerasteuerung für Hackgeräte</t>
  </si>
  <si>
    <t>Contrôle de la caméra pour sarcleuses</t>
  </si>
  <si>
    <t>Cam</t>
  </si>
  <si>
    <t>Schmalspurtraktor, 4-Rad, 30 kW</t>
  </si>
  <si>
    <t>Tracteur étroit, 4 roues, 30 kW</t>
  </si>
  <si>
    <t>Schmalspurtraktor, 4-Rad, 55 kW</t>
  </si>
  <si>
    <t>Tracteur étroit, 4 roues, 55 kW</t>
  </si>
  <si>
    <t>1021+1022</t>
  </si>
  <si>
    <t>1023+1024</t>
  </si>
  <si>
    <t>proche 4005 avec tracteur 1006</t>
  </si>
  <si>
    <t>proche 5022 avec tracteur 1011</t>
  </si>
  <si>
    <t>Anh. 2-achsig, 5 t, hydr. kippbar in Fuder</t>
  </si>
  <si>
    <t>Anh. 2-achsig, 5 t, hydraulisch kippbar in h</t>
  </si>
  <si>
    <t>2e  Sarcleuse av. doigts Kress, 6 rangs, contrôle caméra</t>
  </si>
  <si>
    <r>
      <rPr>
        <b/>
        <sz val="12"/>
        <color indexed="63"/>
        <rFont val="Arial"/>
        <family val="2"/>
      </rPr>
      <t>Qu’est-ce que la marge  brute  ?</t>
    </r>
  </si>
  <si>
    <r>
      <rPr>
        <b/>
        <sz val="11"/>
        <color theme="1"/>
        <rFont val="Calibri"/>
        <family val="2"/>
        <scheme val="minor"/>
      </rPr>
      <t xml:space="preserve">Les prestations </t>
    </r>
    <r>
      <rPr>
        <sz val="11"/>
        <color theme="1"/>
        <rFont val="Calibri"/>
        <family val="2"/>
        <scheme val="minor"/>
      </rPr>
      <t>comprennent les produits issus de la vente de la production (pour laquelle on tient compte d'un risque périodique de perte climatique) ainsi que les paiements directs liés à la culture ou à la surface.</t>
    </r>
  </si>
  <si>
    <r>
      <rPr>
        <b/>
        <sz val="11"/>
        <color theme="1"/>
        <rFont val="Calibri"/>
        <family val="2"/>
        <scheme val="minor"/>
      </rPr>
      <t>Les coûts variable</t>
    </r>
    <r>
      <rPr>
        <sz val="11"/>
        <color theme="1"/>
        <rFont val="Calibri"/>
        <family val="2"/>
        <scheme val="minor"/>
      </rPr>
      <t xml:space="preserve">s comprennent les charges dites spécifiques, c'est à dire liées à la culture elle-même (semence, engrais, phytos, …) ainsi qu'une partie des charges de structure directement attribuables à la culture (frais de mécanisation variables, assurance grêle, etc...). </t>
    </r>
    <r>
      <rPr>
        <b/>
        <sz val="11"/>
        <color theme="1"/>
        <rFont val="Calibri"/>
        <family val="2"/>
        <scheme val="minor"/>
      </rPr>
      <t>Les frais de mécanisation variables</t>
    </r>
    <r>
      <rPr>
        <sz val="11"/>
        <color theme="1"/>
        <rFont val="Calibri"/>
        <family val="2"/>
        <scheme val="minor"/>
      </rPr>
      <t xml:space="preserve"> regroupent le carburant, les lubrifiants, les frais d'entretien et de réparation mais </t>
    </r>
    <r>
      <rPr>
        <u/>
        <sz val="11"/>
        <color theme="1"/>
        <rFont val="Calibri"/>
        <family val="2"/>
        <scheme val="minor"/>
      </rPr>
      <t>ne comprennent pas l'amortissement des machines</t>
    </r>
    <r>
      <rPr>
        <sz val="11"/>
        <color theme="1"/>
        <rFont val="Calibri"/>
        <family val="2"/>
        <scheme val="minor"/>
      </rPr>
      <t xml:space="preserve"> ni son entreposage, son immatriculation, etc...</t>
    </r>
  </si>
  <si>
    <t>Quelques précisions utiles</t>
  </si>
  <si>
    <r>
      <t xml:space="preserve">Les frais de mécanisation sont calculés de manière standardisée, à partir de la liste de machines en </t>
    </r>
    <r>
      <rPr>
        <i/>
        <sz val="11"/>
        <color theme="1"/>
        <rFont val="Calibri"/>
        <family val="2"/>
        <scheme val="minor"/>
      </rPr>
      <t>Annexe</t>
    </r>
    <r>
      <rPr>
        <sz val="11"/>
        <color theme="1"/>
        <rFont val="Calibri"/>
        <family val="2"/>
        <scheme val="minor"/>
      </rPr>
      <t xml:space="preserve"> :</t>
    </r>
  </si>
  <si>
    <t>- avec le tracteur le plus adapté pour chaque machine</t>
  </si>
  <si>
    <t>- avec des frais de réparation et d'entretien moyens, quelque soit l'âge de la machine</t>
  </si>
  <si>
    <t>- une consommation de carburant évaluée à :</t>
  </si>
  <si>
    <t>- sans tenir compte du salaire ou de la rémunération du conducteur</t>
  </si>
  <si>
    <t>- seuls sont calculés automatiquement le salaire des opérateurs nécéssaires à la sarcleuse</t>
  </si>
  <si>
    <t>Dans la mesure où le désherbage par certaines machines peut-être remplacé par du désherbage manuel, il est possible de saisir des heures de travail et un tarif de rémunération pour cette opération.</t>
  </si>
  <si>
    <t>Calculateur Marge brute Soja bio (alimentaire et fourrager)</t>
  </si>
  <si>
    <r>
      <rPr>
        <b/>
        <sz val="11"/>
        <color theme="1"/>
        <rFont val="Calibri"/>
        <family val="2"/>
        <scheme val="minor"/>
      </rPr>
      <t>La marge brute</t>
    </r>
    <r>
      <rPr>
        <sz val="11"/>
        <color theme="1"/>
        <rFont val="Calibri"/>
        <family val="2"/>
        <scheme val="minor"/>
      </rPr>
      <t xml:space="preserve"> (MB) est la différence entre</t>
    </r>
    <r>
      <rPr>
        <b/>
        <sz val="11"/>
        <color theme="1"/>
        <rFont val="Calibri"/>
        <family val="2"/>
        <scheme val="minor"/>
      </rPr>
      <t xml:space="preserve"> les prestations</t>
    </r>
    <r>
      <rPr>
        <sz val="11"/>
        <color theme="1"/>
        <rFont val="Calibri"/>
        <family val="2"/>
        <scheme val="minor"/>
      </rPr>
      <t xml:space="preserve"> (produits) et </t>
    </r>
    <r>
      <rPr>
        <b/>
        <sz val="11"/>
        <color theme="1"/>
        <rFont val="Calibri"/>
        <family val="2"/>
        <scheme val="minor"/>
      </rPr>
      <t>les coûts variables</t>
    </r>
    <r>
      <rPr>
        <sz val="11"/>
        <color theme="1"/>
        <rFont val="Calibri"/>
        <family val="2"/>
        <scheme val="minor"/>
      </rPr>
      <t xml:space="preserve"> d’une branche de production. La MB doit couvrir les coûts fixes.  Sont dits fixes les coûts dont le montant ne dépend pas de la quantité produite et qui servent au fonctionnement général de l'entreprise, indépendement des productions (assurances, impôts, amortissements du matériel et des bâtiments, ...)</t>
    </r>
  </si>
  <si>
    <t>- un supplément à choix pour utilisation d'un GPS/RTK embarqué de CHF 5.- / heure de traction</t>
  </si>
  <si>
    <t>* CHF 1.64  / l pour le diesel</t>
  </si>
  <si>
    <t>* CHF 1.56  / l pour l'essence</t>
  </si>
  <si>
    <t>Mode d'emploi</t>
  </si>
  <si>
    <t>- Dans la feuille «Hypothèses», le producteur introduit les machines utilisées, le recours ou non à la technologie GPS/RTK, le statut de la machine (en propriété, en location ou travaux par tiers) et le nombre d'utilisations. Il indique également le typ de sarcleuse (sarcleuse de base ou sarcleuse dirigée par caméra, ou avec un personne supplémentaire qui conduit la sarcleuse) et le nobmre d'heures de désherbage manuel qu'oö a effectué. Seules les cellules en jaune peuvent être modifiées. Ces chiffres se reportent dans la feeuille «Calculs».</t>
  </si>
  <si>
    <t>- Das la feuille «Calculs», qui n'est rien d'autre que le calcul officiel de la marge brute, le producteur peut modifier quelques autres facteurs, par exemple le rendement de la culture, son prix et les frais de semences.</t>
  </si>
  <si>
    <t>Teléchargez le fichier Excel sur votre ordinateur !</t>
  </si>
  <si>
    <t>Cela est nécessaire pour que vous puissiez travailler avec le fichier. Il n'est en effet pas possible de travailler avec le fichier directement sur internet.</t>
  </si>
  <si>
    <t>Version du 20.03.2019</t>
  </si>
  <si>
    <t>Gregor Albisser Vögeli et Benoît Cascard, AGRIDEA</t>
  </si>
  <si>
    <t>Nathaniel Schmid, Maurice Clerc, Ivanoé Koog, Stefan Schürmann et Matthias Klaiss, FiBL</t>
  </si>
  <si>
    <t>Ce projet a été financé par le Fond Coop pour le développement durable, Bio Suisse et le projet LegValue.</t>
  </si>
  <si>
    <t>En vue du développement attendu de la production de soja bio, cet outil permet d'estimer les coûts de production et la marge brute attendue de manière plus précise que la feuille de calcul standard sur le soja qui se trouve dans le Cataloque Marges brutes d'AGRIDEA. Mais il reste empirique ou imprécis sur certains aspects. C'est pourqoui, les utilisateurs de cet outil Excel peuvent transmettre les remarques ou leurs propositions d'amélioration à Jean-Luc Martrou, AGRIDEA, courriel jean-luc.martrou@agridea.ch .</t>
  </si>
  <si>
    <t xml:space="preserve">Avez-vous des souhaits d'amélioration ? </t>
  </si>
  <si>
    <t>Nom de la machine</t>
  </si>
  <si>
    <t>Soja bio alimentaire</t>
  </si>
  <si>
    <t>Soja bio fourrager</t>
  </si>
  <si>
    <r>
      <t xml:space="preserve">Frais machines </t>
    </r>
    <r>
      <rPr>
        <b/>
        <sz val="11"/>
        <color rgb="FFFF0000"/>
        <rFont val="Calibri"/>
        <family val="2"/>
        <scheme val="minor"/>
      </rPr>
      <t>variables</t>
    </r>
  </si>
  <si>
    <r>
      <rPr>
        <b/>
        <sz val="11"/>
        <rFont val="Calibri"/>
        <family val="2"/>
        <scheme val="minor"/>
      </rPr>
      <t>1a</t>
    </r>
    <r>
      <rPr>
        <sz val="11"/>
        <rFont val="Calibri"/>
        <family val="2"/>
        <scheme val="minor"/>
      </rPr>
      <t xml:space="preserve">  Charrue quadrisocs</t>
    </r>
  </si>
  <si>
    <r>
      <rPr>
        <b/>
        <sz val="11"/>
        <rFont val="Calibri"/>
        <family val="2"/>
        <scheme val="minor"/>
      </rPr>
      <t xml:space="preserve">1b  </t>
    </r>
    <r>
      <rPr>
        <sz val="11"/>
        <rFont val="Calibri"/>
        <family val="2"/>
        <scheme val="minor"/>
      </rPr>
      <t>Charrue déchaumeuse, 2.7 m</t>
    </r>
  </si>
  <si>
    <r>
      <rPr>
        <b/>
        <sz val="11"/>
        <rFont val="Calibri"/>
        <family val="2"/>
        <scheme val="minor"/>
      </rPr>
      <t>1c</t>
    </r>
    <r>
      <rPr>
        <sz val="11"/>
        <rFont val="Calibri"/>
        <family val="2"/>
        <scheme val="minor"/>
      </rPr>
      <t xml:space="preserve">  Chisel avec émotteuse, 3 m</t>
    </r>
  </si>
  <si>
    <r>
      <rPr>
        <b/>
        <sz val="11"/>
        <rFont val="Calibri"/>
        <family val="2"/>
        <scheme val="minor"/>
      </rPr>
      <t>1d</t>
    </r>
    <r>
      <rPr>
        <sz val="11"/>
        <rFont val="Calibri"/>
        <family val="2"/>
        <scheme val="minor"/>
      </rPr>
      <t xml:space="preserve">  Vibroculteur avec rouleau émotteur, 3 m</t>
    </r>
  </si>
  <si>
    <r>
      <rPr>
        <b/>
        <sz val="11"/>
        <rFont val="Calibri"/>
        <family val="2"/>
        <scheme val="minor"/>
      </rPr>
      <t>1e</t>
    </r>
    <r>
      <rPr>
        <sz val="11"/>
        <rFont val="Calibri"/>
        <family val="2"/>
        <scheme val="minor"/>
      </rPr>
      <t xml:space="preserve">  Vibroculteur lourd, 6 m</t>
    </r>
  </si>
  <si>
    <r>
      <rPr>
        <b/>
        <sz val="11"/>
        <rFont val="Calibri"/>
        <family val="2"/>
        <scheme val="minor"/>
      </rPr>
      <t>1f</t>
    </r>
    <r>
      <rPr>
        <sz val="11"/>
        <rFont val="Calibri"/>
        <family val="2"/>
        <scheme val="minor"/>
      </rPr>
      <t xml:space="preserve">  Scalpeur de précision, 3 m</t>
    </r>
  </si>
  <si>
    <r>
      <rPr>
        <b/>
        <sz val="11"/>
        <rFont val="Calibri"/>
        <family val="2"/>
        <scheme val="minor"/>
      </rPr>
      <t>1g</t>
    </r>
    <r>
      <rPr>
        <sz val="11"/>
        <rFont val="Calibri"/>
        <family val="2"/>
        <scheme val="minor"/>
      </rPr>
      <t xml:space="preserve">  Herse à disque tractée, 3m</t>
    </r>
  </si>
  <si>
    <r>
      <rPr>
        <b/>
        <sz val="11"/>
        <rFont val="Calibri"/>
        <family val="2"/>
        <scheme val="minor"/>
      </rPr>
      <t>1h</t>
    </r>
    <r>
      <rPr>
        <sz val="11"/>
        <rFont val="Calibri"/>
        <family val="2"/>
        <scheme val="minor"/>
      </rPr>
      <t xml:space="preserve">  Herse rotative avec rouleau packer, 3 m</t>
    </r>
  </si>
  <si>
    <r>
      <rPr>
        <b/>
        <sz val="11"/>
        <rFont val="Calibri"/>
        <family val="2"/>
        <scheme val="minor"/>
      </rPr>
      <t>1i</t>
    </r>
    <r>
      <rPr>
        <sz val="11"/>
        <rFont val="Calibri"/>
        <family val="2"/>
        <scheme val="minor"/>
      </rPr>
      <t xml:space="preserve">  Rouleau cannelé, 3 m, attelage 3 points</t>
    </r>
  </si>
  <si>
    <r>
      <rPr>
        <b/>
        <sz val="11"/>
        <rFont val="Calibri"/>
        <family val="2"/>
        <scheme val="minor"/>
      </rPr>
      <t>1j</t>
    </r>
    <r>
      <rPr>
        <sz val="11"/>
        <rFont val="Calibri"/>
        <family val="2"/>
        <scheme val="minor"/>
      </rPr>
      <t xml:space="preserve">  Semoir monograine à betteraves, 6 rangs</t>
    </r>
  </si>
  <si>
    <r>
      <rPr>
        <b/>
        <sz val="11"/>
        <rFont val="Calibri"/>
        <family val="2"/>
        <scheme val="minor"/>
      </rPr>
      <t xml:space="preserve">1k </t>
    </r>
    <r>
      <rPr>
        <sz val="11"/>
        <rFont val="Calibri"/>
        <family val="2"/>
        <scheme val="minor"/>
      </rPr>
      <t xml:space="preserve"> Semoir à disques pour semis direct, 6 rangs, 3 m</t>
    </r>
  </si>
  <si>
    <r>
      <rPr>
        <b/>
        <sz val="11"/>
        <rFont val="Calibri"/>
        <family val="2"/>
        <scheme val="minor"/>
      </rPr>
      <t xml:space="preserve">1l </t>
    </r>
    <r>
      <rPr>
        <sz val="11"/>
        <rFont val="Calibri"/>
        <family val="2"/>
        <scheme val="minor"/>
      </rPr>
      <t xml:space="preserve"> Semoir monograine à betteraves, 12 rangs</t>
    </r>
  </si>
  <si>
    <r>
      <rPr>
        <b/>
        <sz val="11"/>
        <rFont val="Calibri"/>
        <family val="2"/>
        <scheme val="minor"/>
      </rPr>
      <t>2a</t>
    </r>
    <r>
      <rPr>
        <sz val="11"/>
        <rFont val="Calibri"/>
        <family val="2"/>
        <scheme val="minor"/>
      </rPr>
      <t xml:space="preserve">  Herse étrille, hydraulique, 9 m</t>
    </r>
  </si>
  <si>
    <r>
      <rPr>
        <b/>
        <sz val="11"/>
        <rFont val="Calibri"/>
        <family val="2"/>
        <scheme val="minor"/>
      </rPr>
      <t>2b</t>
    </r>
    <r>
      <rPr>
        <sz val="11"/>
        <rFont val="Calibri"/>
        <family val="2"/>
        <scheme val="minor"/>
      </rPr>
      <t xml:space="preserve">  Herse-étrille, 6 m</t>
    </r>
  </si>
  <si>
    <r>
      <rPr>
        <b/>
        <sz val="11"/>
        <rFont val="Calibri"/>
        <family val="2"/>
        <scheme val="minor"/>
      </rPr>
      <t>2c</t>
    </r>
    <r>
      <rPr>
        <sz val="11"/>
        <rFont val="Calibri"/>
        <family val="2"/>
        <scheme val="minor"/>
      </rPr>
      <t xml:space="preserve">  Herse étrille rotative, 6 m</t>
    </r>
  </si>
  <si>
    <r>
      <rPr>
        <b/>
        <sz val="11"/>
        <rFont val="Calibri"/>
        <family val="2"/>
        <scheme val="minor"/>
      </rPr>
      <t>2d</t>
    </r>
    <r>
      <rPr>
        <sz val="11"/>
        <rFont val="Calibri"/>
        <family val="2"/>
        <scheme val="minor"/>
      </rPr>
      <t xml:space="preserve">  Sarcleuse à betteraves avec doigts Kress, 6 rangs</t>
    </r>
  </si>
  <si>
    <r>
      <rPr>
        <b/>
        <sz val="11"/>
        <rFont val="Calibri"/>
        <family val="2"/>
        <scheme val="minor"/>
      </rPr>
      <t>2e</t>
    </r>
    <r>
      <rPr>
        <sz val="11"/>
        <rFont val="Calibri"/>
        <family val="2"/>
        <scheme val="minor"/>
      </rPr>
      <t xml:space="preserve">  Sarcleuse av. doigts Kress, 6 rangs, contrôle caméra</t>
    </r>
  </si>
  <si>
    <r>
      <rPr>
        <b/>
        <sz val="11"/>
        <rFont val="Calibri"/>
        <family val="2"/>
        <scheme val="minor"/>
      </rPr>
      <t>2f</t>
    </r>
    <r>
      <rPr>
        <sz val="11"/>
        <rFont val="Calibri"/>
        <family val="2"/>
        <scheme val="minor"/>
      </rPr>
      <t xml:space="preserve">  Sarcleuse à bett. avec bineuse à torsion Kress, 6 rangs</t>
    </r>
  </si>
  <si>
    <r>
      <rPr>
        <b/>
        <sz val="11"/>
        <rFont val="Calibri"/>
        <family val="2"/>
        <scheme val="minor"/>
      </rPr>
      <t>2g</t>
    </r>
    <r>
      <rPr>
        <sz val="11"/>
        <rFont val="Calibri"/>
        <family val="2"/>
        <scheme val="minor"/>
      </rPr>
      <t xml:space="preserve">  Sarcl. avec bineuse à torsion Kress, 6 r., contr. caméra</t>
    </r>
  </si>
  <si>
    <r>
      <rPr>
        <b/>
        <sz val="11"/>
        <rFont val="Calibri"/>
        <family val="2"/>
        <scheme val="minor"/>
      </rPr>
      <t>2h</t>
    </r>
    <r>
      <rPr>
        <sz val="11"/>
        <rFont val="Calibri"/>
        <family val="2"/>
        <scheme val="minor"/>
      </rPr>
      <t xml:space="preserve">  Sarcleuse à betteraves, 6 rangs, 3 m</t>
    </r>
  </si>
  <si>
    <r>
      <rPr>
        <b/>
        <sz val="11"/>
        <rFont val="Calibri"/>
        <family val="2"/>
        <scheme val="minor"/>
      </rPr>
      <t xml:space="preserve">2i </t>
    </r>
    <r>
      <rPr>
        <sz val="11"/>
        <rFont val="Calibri"/>
        <family val="2"/>
        <scheme val="minor"/>
      </rPr>
      <t xml:space="preserve"> Sarcleuse à bett., 6 rangs, 3 m, avec contrôle caméra</t>
    </r>
  </si>
  <si>
    <r>
      <rPr>
        <b/>
        <sz val="11"/>
        <rFont val="Calibri"/>
        <family val="2"/>
        <scheme val="minor"/>
      </rPr>
      <t>2j</t>
    </r>
    <r>
      <rPr>
        <sz val="11"/>
        <rFont val="Calibri"/>
        <family val="2"/>
        <scheme val="minor"/>
      </rPr>
      <t xml:space="preserve">  Fumure de fond, distrib. centrif. 500-1000 l</t>
    </r>
  </si>
  <si>
    <r>
      <rPr>
        <b/>
        <sz val="11"/>
        <rFont val="Calibri"/>
        <family val="2"/>
        <scheme val="minor"/>
      </rPr>
      <t xml:space="preserve">2k </t>
    </r>
    <r>
      <rPr>
        <sz val="11"/>
        <rFont val="Calibri"/>
        <family val="2"/>
        <scheme val="minor"/>
      </rPr>
      <t xml:space="preserve"> Epandage fumier, grue hydr., épand. 8 t/voyage</t>
    </r>
  </si>
  <si>
    <r>
      <rPr>
        <b/>
        <sz val="11"/>
        <rFont val="Calibri"/>
        <family val="2"/>
        <scheme val="minor"/>
      </rPr>
      <t xml:space="preserve">2l </t>
    </r>
    <r>
      <rPr>
        <sz val="11"/>
        <rFont val="Calibri"/>
        <family val="2"/>
        <scheme val="minor"/>
      </rPr>
      <t xml:space="preserve"> Pulvérisateur porté, 12 m, réservoir 600 l</t>
    </r>
  </si>
  <si>
    <r>
      <rPr>
        <b/>
        <sz val="11"/>
        <rFont val="Calibri"/>
        <family val="2"/>
        <scheme val="minor"/>
      </rPr>
      <t xml:space="preserve">2m </t>
    </r>
    <r>
      <rPr>
        <sz val="11"/>
        <rFont val="Calibri"/>
        <family val="2"/>
        <scheme val="minor"/>
      </rPr>
      <t xml:space="preserve"> Personne supplémentaire pour conduire la sarcleuse</t>
    </r>
  </si>
  <si>
    <r>
      <rPr>
        <b/>
        <sz val="11"/>
        <rFont val="Calibri"/>
        <family val="2"/>
        <scheme val="minor"/>
      </rPr>
      <t>3a</t>
    </r>
    <r>
      <rPr>
        <sz val="11"/>
        <rFont val="Calibri"/>
        <family val="2"/>
        <scheme val="minor"/>
      </rPr>
      <t xml:space="preserve">  Char, basculement hydr. 5 t, en voyages</t>
    </r>
  </si>
  <si>
    <r>
      <rPr>
        <b/>
        <sz val="11"/>
        <rFont val="Calibri"/>
        <family val="2"/>
        <scheme val="minor"/>
      </rPr>
      <t>3b</t>
    </r>
    <r>
      <rPr>
        <sz val="11"/>
        <rFont val="Calibri"/>
        <family val="2"/>
        <scheme val="minor"/>
      </rPr>
      <t xml:space="preserve">  Char, basculement hydr. 5 t, en heures </t>
    </r>
  </si>
  <si>
    <r>
      <rPr>
        <b/>
        <sz val="11"/>
        <rFont val="Calibri"/>
        <family val="2"/>
        <scheme val="minor"/>
      </rPr>
      <t>3c</t>
    </r>
    <r>
      <rPr>
        <sz val="11"/>
        <rFont val="Calibri"/>
        <family val="2"/>
        <scheme val="minor"/>
      </rPr>
      <t xml:space="preserve">  Remorque tandem hydr. 10t, 2 essieux, en voyages</t>
    </r>
  </si>
  <si>
    <r>
      <rPr>
        <b/>
        <sz val="11"/>
        <rFont val="Calibri"/>
        <family val="2"/>
        <scheme val="minor"/>
      </rPr>
      <t>3d</t>
    </r>
    <r>
      <rPr>
        <sz val="11"/>
        <rFont val="Calibri"/>
        <family val="2"/>
        <scheme val="minor"/>
      </rPr>
      <t xml:space="preserve">  Remorque tandem hydr. 10t, 2 essieux, en heures</t>
    </r>
  </si>
  <si>
    <r>
      <t>Vente récolte (11% H</t>
    </r>
    <r>
      <rPr>
        <vertAlign val="subscript"/>
        <sz val="11"/>
        <rFont val="Calibri"/>
        <family val="2"/>
        <scheme val="minor"/>
      </rPr>
      <t>2</t>
    </r>
    <r>
      <rPr>
        <sz val="11"/>
        <rFont val="Calibri"/>
        <family val="2"/>
        <scheme val="minor"/>
      </rPr>
      <t>O)</t>
    </r>
  </si>
  <si>
    <r>
      <t>Séchage (16 =&gt; 11% H</t>
    </r>
    <r>
      <rPr>
        <vertAlign val="subscript"/>
        <sz val="11"/>
        <rFont val="Calibri"/>
        <family val="2"/>
        <scheme val="minor"/>
      </rPr>
      <t>2</t>
    </r>
    <r>
      <rPr>
        <sz val="11"/>
        <rFont val="Calibri"/>
        <family val="2"/>
        <scheme val="minor"/>
      </rPr>
      <t>O)</t>
    </r>
  </si>
  <si>
    <r>
      <t xml:space="preserve">Frais machines </t>
    </r>
    <r>
      <rPr>
        <sz val="11"/>
        <color rgb="FFFF0000"/>
        <rFont val="Calibri"/>
        <family val="2"/>
        <scheme val="minor"/>
      </rPr>
      <t>variables *</t>
    </r>
  </si>
  <si>
    <t>CHF</t>
  </si>
  <si>
    <t>1l  Semoir monograine à betteraves, 12 rangs</t>
  </si>
  <si>
    <t>1e  Vibroculteur lourd, 6 m</t>
  </si>
  <si>
    <t>3a  Char, basculement hydr. 5 t, en voyages</t>
  </si>
  <si>
    <t>Contrib. Extenso</t>
  </si>
  <si>
    <t>1h  Herse rotative avec rouleau packer, 3 m</t>
  </si>
  <si>
    <t>1k  Semoir à disques pour semis direct, 6 rangs, 3 m</t>
  </si>
  <si>
    <t>2b  Herse-étrille, 6 m</t>
  </si>
  <si>
    <t>Risque de perte : 1 année sur 10
Frais de séchage = 0.44 cts / dt + 0.60 cts / ° d'humidité</t>
  </si>
  <si>
    <t>Variante libre (Féverole)</t>
  </si>
  <si>
    <r>
      <rPr>
        <b/>
        <sz val="11"/>
        <rFont val="Calibri"/>
        <family val="2"/>
        <scheme val="minor"/>
      </rPr>
      <t xml:space="preserve">1m </t>
    </r>
    <r>
      <rPr>
        <sz val="11"/>
        <rFont val="Calibri"/>
        <family val="2"/>
        <scheme val="minor"/>
      </rPr>
      <t xml:space="preserve"> Semoir avec dispositif de jalonnement, 3 m</t>
    </r>
  </si>
  <si>
    <r>
      <rPr>
        <b/>
        <sz val="11"/>
        <rFont val="Calibri"/>
        <family val="2"/>
        <scheme val="minor"/>
      </rPr>
      <t xml:space="preserve">1n </t>
    </r>
    <r>
      <rPr>
        <sz val="11"/>
        <rFont val="Calibri"/>
        <family val="2"/>
        <scheme val="minor"/>
      </rPr>
      <t xml:space="preserve"> Combiné: Semoir et herse rotative 3 m</t>
    </r>
  </si>
  <si>
    <r>
      <rPr>
        <b/>
        <sz val="11"/>
        <rFont val="Calibri"/>
        <family val="2"/>
        <scheme val="minor"/>
      </rPr>
      <t>3e</t>
    </r>
    <r>
      <rPr>
        <sz val="11"/>
        <rFont val="Calibri"/>
        <family val="2"/>
        <scheme val="minor"/>
      </rPr>
      <t xml:space="preserve">  Moissonneuse-batt., 150 kW, 4.8–5.2 m (sans barre de coupe à colza)</t>
    </r>
  </si>
  <si>
    <r>
      <rPr>
        <b/>
        <sz val="11"/>
        <rFont val="Calibri"/>
        <family val="2"/>
        <scheme val="minor"/>
      </rPr>
      <t>3g</t>
    </r>
    <r>
      <rPr>
        <sz val="11"/>
        <rFont val="Calibri"/>
        <family val="2"/>
        <scheme val="minor"/>
      </rPr>
      <t xml:space="preserve">  Moissonneuse-batt., 150 kW, 4.8–5.2 m (avec barre de coupe à colza)</t>
    </r>
  </si>
  <si>
    <r>
      <rPr>
        <b/>
        <sz val="11"/>
        <rFont val="Calibri"/>
        <family val="2"/>
        <scheme val="minor"/>
      </rPr>
      <t xml:space="preserve">3f </t>
    </r>
    <r>
      <rPr>
        <sz val="11"/>
        <rFont val="Calibri"/>
        <family val="2"/>
        <scheme val="minor"/>
      </rPr>
      <t xml:space="preserve"> Moissonneuse-batt., 257 kW, 6 - 7 m (sans barre de coupe à colza)</t>
    </r>
  </si>
  <si>
    <r>
      <rPr>
        <b/>
        <sz val="11"/>
        <rFont val="Calibri"/>
        <family val="2"/>
        <scheme val="minor"/>
      </rPr>
      <t xml:space="preserve">3h </t>
    </r>
    <r>
      <rPr>
        <sz val="11"/>
        <rFont val="Calibri"/>
        <family val="2"/>
        <scheme val="minor"/>
      </rPr>
      <t xml:space="preserve"> Moissonneuse-batt., 257 kW, 6 - 7 m (sans barre de coupe à colza)</t>
    </r>
  </si>
  <si>
    <t>3f  Moissonneuse-batt., 257 kW, 6 - 7 m (sans barre de coupe à colza)</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</si>
</sst>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43" formatCode="_ * #,##0.00_ ;_ * \-#,##0.00_ ;_ * &quot;-&quot;??_ ;_ @_ "/>
    <numFmt numFmtId="164" formatCode="_-* #,##0.00\ _f_r_._-;\-* #,##0.00\ _f_r_._-;_-* &quot;-&quot;??\ _f_r_._-;_-@_-"/>
    <numFmt numFmtId="165" formatCode="0\ &quot;dt&quot;"/>
    <numFmt numFmtId="166" formatCode="0\ &quot;Mt.&quot;"/>
    <numFmt numFmtId="167" formatCode="\ \ @"/>
    <numFmt numFmtId="168" formatCode="0%\ &quot;Feuchtigkeit&quot;"/>
    <numFmt numFmtId="169" formatCode="0.0%"/>
    <numFmt numFmtId="170" formatCode="0.0"/>
    <numFmt numFmtId="171" formatCode="0\ &quot;Monate&quot;"/>
    <numFmt numFmtId="172" formatCode="#,##0.0"/>
    <numFmt numFmtId="173" formatCode="0\ &quot;Fr./h&quot;"/>
    <numFmt numFmtId="174" formatCode="_ * #,##0_ ;_ * \-#,##0_ ;_ * &quot;-&quot;??_ ;_ @_ "/>
    <numFmt numFmtId="175" formatCode="0\ &quot;CHF/h&quot;"/>
  </numFmts>
  <fonts count="42" x14ac:knownFonts="1">
    <font>
      <sz val="11"/>
      <color theme="1"/>
      <name val="Calibri"/>
      <family val="2"/>
      <scheme val="minor"/>
    </font>
    <font>
      <sz val="10"/>
      <name val="Helvetica"/>
    </font>
    <font>
      <sz val="9"/>
      <name val="Helvetica"/>
      <family val="2"/>
    </font>
    <font>
      <sz val="10"/>
      <name val="Helvetica"/>
      <family val="2"/>
    </font>
    <font>
      <sz val="10"/>
      <name val="Arial"/>
      <family val="2"/>
    </font>
    <font>
      <b/>
      <sz val="12"/>
      <name val="Helvetica"/>
      <family val="2"/>
    </font>
    <font>
      <sz val="14"/>
      <name val="Helvetica"/>
      <family val="2"/>
    </font>
    <font>
      <sz val="8"/>
      <color indexed="81"/>
      <name val="Tahoma"/>
      <family val="2"/>
    </font>
    <font>
      <i/>
      <sz val="9"/>
      <name val="Arial"/>
      <family val="2"/>
    </font>
    <font>
      <b/>
      <sz val="11"/>
      <color theme="1"/>
      <name val="Calibri"/>
      <family val="2"/>
      <scheme val="minor"/>
    </font>
    <font>
      <sz val="10"/>
      <name val="Arial"/>
      <family val="2"/>
    </font>
    <font>
      <b/>
      <sz val="11"/>
      <color rgb="FFFF0000"/>
      <name val="Calibri"/>
      <family val="2"/>
      <scheme val="minor"/>
    </font>
    <font>
      <sz val="11"/>
      <color theme="1"/>
      <name val="Calibri"/>
      <family val="2"/>
      <scheme val="minor"/>
    </font>
    <font>
      <u/>
      <sz val="11"/>
      <color theme="10"/>
      <name val="Calibri"/>
      <family val="2"/>
      <scheme val="minor"/>
    </font>
    <font>
      <b/>
      <sz val="18"/>
      <color theme="1"/>
      <name val="Calibri"/>
      <family val="2"/>
      <scheme val="minor"/>
    </font>
    <font>
      <sz val="12"/>
      <color theme="1"/>
      <name val="Calibri"/>
      <family val="2"/>
      <scheme val="minor"/>
    </font>
    <font>
      <b/>
      <sz val="12"/>
      <color indexed="63"/>
      <name val="Arial"/>
      <family val="2"/>
    </font>
    <font>
      <u/>
      <sz val="11"/>
      <color theme="1"/>
      <name val="Calibri"/>
      <family val="2"/>
      <scheme val="minor"/>
    </font>
    <font>
      <b/>
      <sz val="12"/>
      <color theme="1"/>
      <name val="Calibri"/>
      <family val="2"/>
      <scheme val="minor"/>
    </font>
    <font>
      <i/>
      <sz val="11"/>
      <color theme="1"/>
      <name val="Calibri"/>
      <family val="2"/>
      <scheme val="minor"/>
    </font>
    <font>
      <sz val="11"/>
      <color rgb="FFFF0000"/>
      <name val="Calibri"/>
      <family val="2"/>
      <scheme val="minor"/>
    </font>
    <font>
      <b/>
      <sz val="14"/>
      <name val="Calibri"/>
      <family val="2"/>
      <scheme val="minor"/>
    </font>
    <font>
      <b/>
      <sz val="12"/>
      <name val="Calibri"/>
      <family val="2"/>
      <scheme val="minor"/>
    </font>
    <font>
      <sz val="9"/>
      <name val="Calibri"/>
      <family val="2"/>
      <scheme val="minor"/>
    </font>
    <font>
      <b/>
      <sz val="8"/>
      <name val="Calibri"/>
      <family val="2"/>
      <scheme val="minor"/>
    </font>
    <font>
      <b/>
      <sz val="9"/>
      <name val="Calibri"/>
      <family val="2"/>
      <scheme val="minor"/>
    </font>
    <font>
      <sz val="10"/>
      <name val="Calibri"/>
      <family val="2"/>
      <scheme val="minor"/>
    </font>
    <font>
      <b/>
      <i/>
      <sz val="11"/>
      <name val="Calibri"/>
      <family val="2"/>
      <scheme val="minor"/>
    </font>
    <font>
      <b/>
      <sz val="11"/>
      <name val="Calibri"/>
      <family val="2"/>
      <scheme val="minor"/>
    </font>
    <font>
      <sz val="11"/>
      <name val="Calibri"/>
      <family val="2"/>
      <scheme val="minor"/>
    </font>
    <font>
      <b/>
      <sz val="18"/>
      <name val="Calibri"/>
      <family val="2"/>
      <scheme val="minor"/>
    </font>
    <font>
      <sz val="12"/>
      <name val="Calibri"/>
      <family val="2"/>
      <scheme val="minor"/>
    </font>
    <font>
      <sz val="7.5"/>
      <name val="Calibri"/>
      <family val="2"/>
      <scheme val="minor"/>
    </font>
    <font>
      <sz val="8"/>
      <name val="Calibri"/>
      <family val="2"/>
      <scheme val="minor"/>
    </font>
    <font>
      <i/>
      <sz val="11"/>
      <name val="Calibri"/>
      <family val="2"/>
      <scheme val="minor"/>
    </font>
    <font>
      <vertAlign val="subscript"/>
      <sz val="11"/>
      <name val="Calibri"/>
      <family val="2"/>
      <scheme val="minor"/>
    </font>
    <font>
      <sz val="11"/>
      <color indexed="8"/>
      <name val="Calibri"/>
      <family val="2"/>
      <scheme val="minor"/>
    </font>
    <font>
      <sz val="11"/>
      <color indexed="12"/>
      <name val="Calibri"/>
      <family val="2"/>
      <scheme val="minor"/>
    </font>
    <font>
      <b/>
      <i/>
      <sz val="12"/>
      <name val="Calibri"/>
      <family val="2"/>
      <scheme val="minor"/>
    </font>
    <font>
      <sz val="9"/>
      <name val="Arial"/>
      <family val="2"/>
    </font>
    <font>
      <sz val="8"/>
      <name val="Arial"/>
      <family val="2"/>
    </font>
    <font>
      <b/>
      <sz val="10"/>
      <name val="Calibri"/>
      <family val="2"/>
      <scheme val="minor"/>
    </font>
  </fonts>
  <fills count="17">
    <fill>
      <patternFill patternType="none"/>
    </fill>
    <fill>
      <patternFill patternType="gray125"/>
    </fill>
    <fill>
      <patternFill patternType="solid">
        <fgColor indexed="10"/>
        <bgColor indexed="64"/>
      </patternFill>
    </fill>
    <fill>
      <patternFill patternType="solid">
        <fgColor indexed="42"/>
        <bgColor indexed="64"/>
      </patternFill>
    </fill>
    <fill>
      <patternFill patternType="solid">
        <fgColor indexed="9"/>
        <bgColor indexed="64"/>
      </patternFill>
    </fill>
    <fill>
      <patternFill patternType="solid">
        <fgColor indexed="43"/>
        <bgColor indexed="64"/>
      </patternFill>
    </fill>
    <fill>
      <patternFill patternType="solid">
        <fgColor theme="2"/>
        <bgColor indexed="64"/>
      </patternFill>
    </fill>
    <fill>
      <patternFill patternType="solid">
        <fgColor theme="2" tint="-0.249977111117893"/>
        <bgColor indexed="64"/>
      </patternFill>
    </fill>
    <fill>
      <patternFill patternType="solid">
        <fgColor indexed="23"/>
        <bgColor indexed="64"/>
      </patternFill>
    </fill>
    <fill>
      <patternFill patternType="solid">
        <fgColor rgb="FF92D050"/>
        <bgColor indexed="64"/>
      </patternFill>
    </fill>
    <fill>
      <patternFill patternType="solid">
        <fgColor rgb="FFFFFFCC"/>
        <bgColor indexed="64"/>
      </patternFill>
    </fill>
    <fill>
      <patternFill patternType="solid">
        <fgColor rgb="FF99FF99"/>
        <bgColor indexed="64"/>
      </patternFill>
    </fill>
    <fill>
      <patternFill patternType="solid">
        <fgColor rgb="FFE7E6E6"/>
        <bgColor indexed="64"/>
      </patternFill>
    </fill>
    <fill>
      <patternFill patternType="solid">
        <fgColor rgb="FF00B0F0"/>
        <bgColor indexed="64"/>
      </patternFill>
    </fill>
    <fill>
      <patternFill patternType="solid">
        <fgColor theme="5" tint="0.59999389629810485"/>
        <bgColor indexed="64"/>
      </patternFill>
    </fill>
    <fill>
      <patternFill patternType="solid">
        <fgColor rgb="FFFFFF00"/>
        <bgColor indexed="64"/>
      </patternFill>
    </fill>
    <fill>
      <patternFill patternType="solid">
        <fgColor rgb="FF99CCFF"/>
        <bgColor indexed="64"/>
      </patternFill>
    </fill>
  </fills>
  <borders count="59">
    <border>
      <left/>
      <right/>
      <top/>
      <bottom/>
      <diagonal/>
    </border>
    <border>
      <left/>
      <right/>
      <top/>
      <bottom style="thin">
        <color indexed="9"/>
      </bottom>
      <diagonal/>
    </border>
    <border>
      <left/>
      <right/>
      <top style="thin">
        <color indexed="9"/>
      </top>
      <bottom/>
      <diagonal/>
    </border>
    <border>
      <left/>
      <right/>
      <top style="thin">
        <color indexed="9"/>
      </top>
      <bottom style="thin">
        <color indexed="9"/>
      </bottom>
      <diagonal/>
    </border>
    <border>
      <left/>
      <right/>
      <top/>
      <bottom style="hair">
        <color indexed="64"/>
      </bottom>
      <diagonal/>
    </border>
    <border>
      <left style="hair">
        <color indexed="64"/>
      </left>
      <right/>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right/>
      <top style="hair">
        <color indexed="64"/>
      </top>
      <bottom/>
      <diagonal/>
    </border>
    <border>
      <left style="hair">
        <color indexed="64"/>
      </left>
      <right/>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hair">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5" tint="-0.24994659260841701"/>
      </left>
      <right style="thin">
        <color indexed="64"/>
      </right>
      <top/>
      <bottom style="thin">
        <color indexed="64"/>
      </bottom>
      <diagonal/>
    </border>
    <border>
      <left style="thin">
        <color theme="5" tint="-0.24994659260841701"/>
      </left>
      <right style="thin">
        <color indexed="64"/>
      </right>
      <top/>
      <bottom style="double">
        <color rgb="FFFF0000"/>
      </bottom>
      <diagonal/>
    </border>
    <border>
      <left/>
      <right style="thin">
        <color theme="0"/>
      </right>
      <top style="thin">
        <color theme="0"/>
      </top>
      <bottom style="thin">
        <color theme="0"/>
      </bottom>
      <diagonal/>
    </border>
    <border>
      <left/>
      <right/>
      <top/>
      <bottom style="thin">
        <color theme="0"/>
      </bottom>
      <diagonal/>
    </border>
    <border>
      <left/>
      <right/>
      <top style="thin">
        <color indexed="9"/>
      </top>
      <bottom style="thin">
        <color theme="0"/>
      </bottom>
      <diagonal/>
    </border>
    <border>
      <left/>
      <right style="thin">
        <color indexed="64"/>
      </right>
      <top/>
      <bottom style="double">
        <color rgb="FFFF0000"/>
      </bottom>
      <diagonal/>
    </border>
    <border>
      <left/>
      <right/>
      <top style="thin">
        <color theme="0"/>
      </top>
      <bottom style="thin">
        <color theme="0"/>
      </bottom>
      <diagonal/>
    </border>
    <border>
      <left/>
      <right/>
      <top style="thin">
        <color theme="0"/>
      </top>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thin">
        <color theme="0"/>
      </right>
      <top/>
      <bottom/>
      <diagonal/>
    </border>
    <border>
      <left/>
      <right style="thin">
        <color theme="0"/>
      </right>
      <top/>
      <bottom style="thin">
        <color indexed="9"/>
      </bottom>
      <diagonal/>
    </border>
    <border>
      <left/>
      <right style="thin">
        <color theme="0"/>
      </right>
      <top style="thin">
        <color indexed="9"/>
      </top>
      <bottom style="thin">
        <color indexed="9"/>
      </bottom>
      <diagonal/>
    </border>
    <border>
      <left/>
      <right style="thin">
        <color theme="0"/>
      </right>
      <top style="thin">
        <color indexed="9"/>
      </top>
      <bottom/>
      <diagonal/>
    </border>
    <border>
      <left style="thin">
        <color theme="0"/>
      </left>
      <right/>
      <top/>
      <bottom/>
      <diagonal/>
    </border>
    <border>
      <left style="thin">
        <color theme="0"/>
      </left>
      <right/>
      <top/>
      <bottom style="thin">
        <color theme="0"/>
      </bottom>
      <diagonal/>
    </border>
    <border>
      <left style="thin">
        <color theme="0"/>
      </left>
      <right/>
      <top style="thin">
        <color theme="0"/>
      </top>
      <bottom style="thin">
        <color theme="0"/>
      </bottom>
      <diagonal/>
    </border>
    <border>
      <left style="thin">
        <color theme="0"/>
      </left>
      <right/>
      <top/>
      <bottom style="thin">
        <color indexed="9"/>
      </bottom>
      <diagonal/>
    </border>
    <border>
      <left style="thin">
        <color theme="0"/>
      </left>
      <right/>
      <top style="thin">
        <color indexed="9"/>
      </top>
      <bottom style="thin">
        <color indexed="9"/>
      </bottom>
      <diagonal/>
    </border>
    <border>
      <left style="thin">
        <color theme="0"/>
      </left>
      <right/>
      <top style="thin">
        <color indexed="9"/>
      </top>
      <bottom/>
      <diagonal/>
    </border>
  </borders>
  <cellStyleXfs count="15">
    <xf numFmtId="0" fontId="0" fillId="0" borderId="0"/>
    <xf numFmtId="0" fontId="1" fillId="0" borderId="0"/>
    <xf numFmtId="0" fontId="6" fillId="0" borderId="0"/>
    <xf numFmtId="0" fontId="2" fillId="0" borderId="0">
      <protection locked="0"/>
    </xf>
    <xf numFmtId="43"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0" fontId="5" fillId="0" borderId="0" applyNumberFormat="0" applyFont="0" applyBorder="0" applyAlignment="0" applyProtection="0">
      <alignment horizontal="left"/>
    </xf>
    <xf numFmtId="0" fontId="4" fillId="0" borderId="0"/>
    <xf numFmtId="164" fontId="4" fillId="0" borderId="0" applyFont="0" applyFill="0" applyBorder="0" applyAlignment="0" applyProtection="0"/>
    <xf numFmtId="0" fontId="10" fillId="0" borderId="0"/>
    <xf numFmtId="9" fontId="12" fillId="0" borderId="0" applyFont="0" applyFill="0" applyBorder="0" applyAlignment="0" applyProtection="0"/>
    <xf numFmtId="0" fontId="13" fillId="0" borderId="0" applyNumberFormat="0" applyFill="0" applyBorder="0" applyAlignment="0" applyProtection="0"/>
    <xf numFmtId="43" fontId="12" fillId="0" borderId="0" applyFont="0" applyFill="0" applyBorder="0" applyAlignment="0" applyProtection="0"/>
  </cellStyleXfs>
  <cellXfs count="430">
    <xf numFmtId="0" fontId="0" fillId="0" borderId="0" xfId="0"/>
    <xf numFmtId="167" fontId="8" fillId="0" borderId="21" xfId="7" applyNumberFormat="1" applyFont="1" applyBorder="1" applyAlignment="1" applyProtection="1">
      <alignment vertical="center"/>
    </xf>
    <xf numFmtId="167" fontId="8" fillId="0" borderId="22" xfId="7" applyNumberFormat="1" applyFont="1" applyBorder="1" applyAlignment="1" applyProtection="1">
      <alignment vertical="center"/>
    </xf>
    <xf numFmtId="0" fontId="9" fillId="0" borderId="16" xfId="0" applyFont="1" applyBorder="1"/>
    <xf numFmtId="0" fontId="11" fillId="0" borderId="15" xfId="0" applyFont="1" applyBorder="1" applyProtection="1"/>
    <xf numFmtId="0" fontId="11" fillId="0" borderId="20" xfId="0" applyFont="1" applyBorder="1" applyProtection="1"/>
    <xf numFmtId="0" fontId="11" fillId="0" borderId="18" xfId="0" applyFont="1" applyBorder="1" applyProtection="1"/>
    <xf numFmtId="0" fontId="11" fillId="0" borderId="28" xfId="0" applyFont="1" applyBorder="1" applyProtection="1"/>
    <xf numFmtId="0" fontId="11" fillId="0" borderId="24" xfId="0" applyFont="1" applyBorder="1" applyProtection="1"/>
    <xf numFmtId="0" fontId="11" fillId="0" borderId="17" xfId="0" applyFont="1" applyBorder="1" applyProtection="1"/>
    <xf numFmtId="0" fontId="0" fillId="0" borderId="0" xfId="0" applyAlignment="1">
      <alignment horizontal="left"/>
    </xf>
    <xf numFmtId="0" fontId="15" fillId="14" borderId="0" xfId="0" applyFont="1" applyFill="1"/>
    <xf numFmtId="0" fontId="0" fillId="14" borderId="0" xfId="0" applyFill="1"/>
    <xf numFmtId="0" fontId="0" fillId="14" borderId="0" xfId="0" applyFill="1" applyAlignment="1">
      <alignment horizontal="left" vertical="top" wrapText="1"/>
    </xf>
    <xf numFmtId="0" fontId="18" fillId="14" borderId="0" xfId="0" applyFont="1" applyFill="1"/>
    <xf numFmtId="0" fontId="0" fillId="14" borderId="0" xfId="0" quotePrefix="1" applyFill="1" applyAlignment="1">
      <alignment horizontal="left" indent="1"/>
    </xf>
    <xf numFmtId="0" fontId="0" fillId="14" borderId="0" xfId="0" quotePrefix="1" applyFill="1" applyAlignment="1">
      <alignment horizontal="left" indent="4"/>
    </xf>
    <xf numFmtId="0" fontId="0" fillId="14" borderId="0" xfId="0" applyFill="1" applyAlignment="1">
      <alignment horizontal="left" indent="4"/>
    </xf>
    <xf numFmtId="0" fontId="0" fillId="15" borderId="0" xfId="0" applyFill="1"/>
    <xf numFmtId="0" fontId="18" fillId="15" borderId="0" xfId="0" applyFont="1" applyFill="1"/>
    <xf numFmtId="0" fontId="0" fillId="0" borderId="0" xfId="0" applyFill="1"/>
    <xf numFmtId="0" fontId="0" fillId="16" borderId="0" xfId="0" applyFill="1"/>
    <xf numFmtId="0" fontId="0" fillId="0" borderId="0" xfId="0" applyFill="1" applyAlignment="1">
      <alignment horizontal="left" wrapText="1"/>
    </xf>
    <xf numFmtId="0" fontId="0" fillId="9" borderId="0" xfId="0" applyFill="1" applyAlignment="1">
      <alignment horizontal="left" wrapText="1"/>
    </xf>
    <xf numFmtId="0" fontId="21" fillId="0" borderId="0" xfId="11" applyNumberFormat="1" applyFont="1" applyFill="1" applyBorder="1" applyAlignment="1" applyProtection="1"/>
    <xf numFmtId="0" fontId="12" fillId="0" borderId="0" xfId="0" applyFont="1" applyProtection="1"/>
    <xf numFmtId="0" fontId="12" fillId="0" borderId="0" xfId="0" applyFont="1" applyFill="1" applyProtection="1"/>
    <xf numFmtId="0" fontId="22" fillId="0" borderId="0" xfId="7" applyFont="1" applyFill="1" applyBorder="1" applyAlignment="1" applyProtection="1">
      <alignment horizontal="center" vertical="center" wrapText="1"/>
    </xf>
    <xf numFmtId="0" fontId="23" fillId="0" borderId="0" xfId="7" applyFont="1" applyBorder="1" applyAlignment="1" applyProtection="1">
      <alignment vertical="center"/>
    </xf>
    <xf numFmtId="0" fontId="23" fillId="0" borderId="0" xfId="7" applyFont="1" applyFill="1" applyBorder="1" applyAlignment="1" applyProtection="1">
      <alignment horizontal="center" vertical="center"/>
    </xf>
    <xf numFmtId="0" fontId="12" fillId="0" borderId="0" xfId="0" applyFont="1" applyBorder="1" applyProtection="1"/>
    <xf numFmtId="0" fontId="12" fillId="0" borderId="17" xfId="0" applyFont="1" applyBorder="1" applyProtection="1"/>
    <xf numFmtId="0" fontId="12" fillId="0" borderId="23" xfId="0" applyFont="1" applyBorder="1" applyProtection="1"/>
    <xf numFmtId="174" fontId="12" fillId="0" borderId="0" xfId="14" applyNumberFormat="1" applyFont="1" applyBorder="1" applyProtection="1"/>
    <xf numFmtId="0" fontId="12" fillId="0" borderId="0" xfId="0" applyFont="1" applyFill="1" applyBorder="1" applyProtection="1"/>
    <xf numFmtId="167" fontId="27" fillId="0" borderId="0" xfId="7" applyNumberFormat="1" applyFont="1" applyFill="1" applyBorder="1" applyAlignment="1" applyProtection="1">
      <alignment vertical="center"/>
    </xf>
    <xf numFmtId="0" fontId="27" fillId="0" borderId="0" xfId="7" applyFont="1" applyFill="1" applyBorder="1" applyAlignment="1" applyProtection="1">
      <alignment vertical="center"/>
    </xf>
    <xf numFmtId="0" fontId="27" fillId="0" borderId="0" xfId="7" applyFont="1" applyFill="1" applyBorder="1" applyAlignment="1" applyProtection="1">
      <alignment horizontal="center" vertical="center"/>
    </xf>
    <xf numFmtId="3" fontId="27" fillId="0" borderId="0" xfId="7" applyNumberFormat="1" applyFont="1" applyFill="1" applyBorder="1" applyAlignment="1" applyProtection="1">
      <alignment horizontal="center" vertical="center"/>
    </xf>
    <xf numFmtId="174" fontId="27" fillId="0" borderId="0" xfId="14" applyNumberFormat="1" applyFont="1" applyFill="1" applyBorder="1" applyAlignment="1" applyProtection="1">
      <alignment horizontal="center" vertical="center"/>
    </xf>
    <xf numFmtId="174" fontId="23" fillId="0" borderId="0" xfId="14" applyNumberFormat="1" applyFont="1" applyBorder="1" applyAlignment="1" applyProtection="1">
      <alignment horizontal="center" vertical="center"/>
    </xf>
    <xf numFmtId="167" fontId="28" fillId="7" borderId="0" xfId="7" applyNumberFormat="1" applyFont="1" applyFill="1" applyBorder="1" applyAlignment="1" applyProtection="1">
      <alignment vertical="center"/>
    </xf>
    <xf numFmtId="3" fontId="12" fillId="0" borderId="0" xfId="0" applyNumberFormat="1" applyFont="1" applyProtection="1"/>
    <xf numFmtId="3" fontId="12" fillId="0" borderId="0" xfId="0" applyNumberFormat="1" applyFont="1" applyFill="1" applyProtection="1"/>
    <xf numFmtId="0" fontId="30" fillId="0" borderId="0" xfId="11" applyNumberFormat="1" applyFont="1" applyFill="1" applyBorder="1" applyAlignment="1" applyProtection="1"/>
    <xf numFmtId="0" fontId="29" fillId="0" borderId="0" xfId="7" applyFont="1" applyBorder="1" applyAlignment="1" applyProtection="1">
      <alignment vertical="center"/>
    </xf>
    <xf numFmtId="0" fontId="28" fillId="0" borderId="0" xfId="6" applyFont="1" applyFill="1" applyBorder="1" applyAlignment="1" applyProtection="1">
      <alignment horizontal="center" vertical="center"/>
    </xf>
    <xf numFmtId="3" fontId="28" fillId="0" borderId="0" xfId="6" applyNumberFormat="1" applyFont="1" applyFill="1" applyBorder="1" applyAlignment="1" applyProtection="1">
      <alignment horizontal="center" vertical="center"/>
    </xf>
    <xf numFmtId="0" fontId="29" fillId="0" borderId="0" xfId="7" applyFont="1" applyBorder="1" applyAlignment="1" applyProtection="1">
      <alignment horizontal="center" vertical="center"/>
    </xf>
    <xf numFmtId="0" fontId="29" fillId="0" borderId="0" xfId="7" applyFont="1" applyFill="1" applyBorder="1" applyAlignment="1" applyProtection="1">
      <alignment horizontal="center" vertical="center"/>
    </xf>
    <xf numFmtId="0" fontId="28" fillId="6" borderId="0" xfId="6" applyFont="1" applyFill="1" applyBorder="1" applyAlignment="1" applyProtection="1">
      <alignment vertical="center"/>
    </xf>
    <xf numFmtId="0" fontId="28" fillId="12" borderId="0" xfId="6" applyFont="1" applyFill="1" applyBorder="1" applyAlignment="1" applyProtection="1">
      <alignment horizontal="right" vertical="center"/>
    </xf>
    <xf numFmtId="0" fontId="28" fillId="12" borderId="0" xfId="6" applyFont="1" applyFill="1" applyBorder="1" applyAlignment="1" applyProtection="1">
      <alignment vertical="center"/>
    </xf>
    <xf numFmtId="3" fontId="29" fillId="0" borderId="0" xfId="7" applyNumberFormat="1" applyFont="1" applyFill="1" applyBorder="1" applyAlignment="1" applyProtection="1">
      <alignment horizontal="center" vertical="center"/>
    </xf>
    <xf numFmtId="3" fontId="29" fillId="6" borderId="0" xfId="7" applyNumberFormat="1" applyFont="1" applyFill="1" applyBorder="1" applyAlignment="1" applyProtection="1">
      <alignment horizontal="center" vertical="center"/>
    </xf>
    <xf numFmtId="0" fontId="28" fillId="0" borderId="0" xfId="6" applyFont="1" applyFill="1" applyBorder="1" applyAlignment="1" applyProtection="1">
      <alignment vertical="center"/>
    </xf>
    <xf numFmtId="0" fontId="29" fillId="0" borderId="0" xfId="6" applyFont="1" applyFill="1" applyBorder="1" applyAlignment="1" applyProtection="1">
      <alignment horizontal="center" vertical="center"/>
    </xf>
    <xf numFmtId="170" fontId="29" fillId="10" borderId="3" xfId="6" applyNumberFormat="1" applyFont="1" applyFill="1" applyBorder="1" applyAlignment="1" applyProtection="1">
      <alignment horizontal="center" vertical="center"/>
      <protection locked="0"/>
    </xf>
    <xf numFmtId="0" fontId="29" fillId="11" borderId="3" xfId="6" applyFont="1" applyFill="1" applyBorder="1" applyAlignment="1" applyProtection="1">
      <alignment horizontal="center" vertical="center"/>
      <protection locked="0"/>
    </xf>
    <xf numFmtId="174" fontId="29" fillId="6" borderId="0" xfId="14" applyNumberFormat="1" applyFont="1" applyFill="1" applyBorder="1" applyAlignment="1" applyProtection="1">
      <alignment horizontal="center" vertical="center"/>
    </xf>
    <xf numFmtId="0" fontId="29" fillId="10" borderId="3" xfId="6" applyFont="1" applyFill="1" applyBorder="1" applyAlignment="1" applyProtection="1">
      <alignment horizontal="center" vertical="center"/>
      <protection locked="0"/>
    </xf>
    <xf numFmtId="170" fontId="29" fillId="10" borderId="2" xfId="6" applyNumberFormat="1" applyFont="1" applyFill="1" applyBorder="1" applyAlignment="1" applyProtection="1">
      <alignment horizontal="center" vertical="center"/>
      <protection locked="0"/>
    </xf>
    <xf numFmtId="0" fontId="29" fillId="10" borderId="2" xfId="6" applyFont="1" applyFill="1" applyBorder="1" applyAlignment="1" applyProtection="1">
      <alignment horizontal="center" vertical="center"/>
      <protection locked="0"/>
    </xf>
    <xf numFmtId="174" fontId="28" fillId="6" borderId="0" xfId="14" applyNumberFormat="1" applyFont="1" applyFill="1" applyBorder="1" applyAlignment="1" applyProtection="1">
      <alignment vertical="center"/>
    </xf>
    <xf numFmtId="172" fontId="29" fillId="0" borderId="0" xfId="7" applyNumberFormat="1" applyFont="1" applyFill="1" applyBorder="1" applyAlignment="1" applyProtection="1">
      <alignment horizontal="center" vertical="center"/>
    </xf>
    <xf numFmtId="167" fontId="28" fillId="0" borderId="0" xfId="7" applyNumberFormat="1" applyFont="1" applyBorder="1" applyAlignment="1" applyProtection="1">
      <alignment vertical="center"/>
    </xf>
    <xf numFmtId="170" fontId="28" fillId="0" borderId="0" xfId="6" applyNumberFormat="1" applyFont="1" applyFill="1" applyBorder="1" applyAlignment="1" applyProtection="1">
      <alignment horizontal="center" vertical="center"/>
    </xf>
    <xf numFmtId="174" fontId="28" fillId="6" borderId="0" xfId="14" applyNumberFormat="1" applyFont="1" applyFill="1" applyBorder="1" applyAlignment="1" applyProtection="1">
      <alignment horizontal="center" vertical="center"/>
    </xf>
    <xf numFmtId="3" fontId="28" fillId="0" borderId="0" xfId="7" applyNumberFormat="1" applyFont="1" applyFill="1" applyBorder="1" applyAlignment="1" applyProtection="1">
      <alignment horizontal="center" vertical="center"/>
    </xf>
    <xf numFmtId="167" fontId="28" fillId="6" borderId="2" xfId="7" applyNumberFormat="1" applyFont="1" applyFill="1" applyBorder="1" applyAlignment="1" applyProtection="1">
      <alignment vertical="center"/>
    </xf>
    <xf numFmtId="0" fontId="29" fillId="6" borderId="2" xfId="7" applyFont="1" applyFill="1" applyBorder="1" applyAlignment="1" applyProtection="1">
      <alignment vertical="center"/>
    </xf>
    <xf numFmtId="0" fontId="29" fillId="6" borderId="2" xfId="7" applyFont="1" applyFill="1" applyBorder="1" applyAlignment="1" applyProtection="1">
      <alignment horizontal="center" vertical="center"/>
    </xf>
    <xf numFmtId="1" fontId="29" fillId="6" borderId="2" xfId="7" applyNumberFormat="1" applyFont="1" applyFill="1" applyBorder="1" applyAlignment="1" applyProtection="1">
      <alignment horizontal="center" vertical="center"/>
    </xf>
    <xf numFmtId="174" fontId="28" fillId="6" borderId="2" xfId="14" applyNumberFormat="1" applyFont="1" applyFill="1" applyBorder="1" applyAlignment="1" applyProtection="1">
      <alignment horizontal="center" vertical="center"/>
    </xf>
    <xf numFmtId="1" fontId="28" fillId="0" borderId="2" xfId="7" applyNumberFormat="1" applyFont="1" applyFill="1" applyBorder="1" applyAlignment="1" applyProtection="1">
      <alignment horizontal="center" vertical="center"/>
    </xf>
    <xf numFmtId="0" fontId="29" fillId="10" borderId="0" xfId="6" applyFont="1" applyFill="1" applyBorder="1" applyAlignment="1" applyProtection="1">
      <alignment horizontal="left" vertical="center"/>
      <protection locked="0"/>
    </xf>
    <xf numFmtId="0" fontId="29" fillId="10" borderId="0" xfId="6" applyFont="1" applyFill="1" applyBorder="1" applyAlignment="1" applyProtection="1">
      <alignment horizontal="center" vertical="center"/>
      <protection locked="0"/>
    </xf>
    <xf numFmtId="173" fontId="29" fillId="10" borderId="3" xfId="6" applyNumberFormat="1" applyFont="1" applyFill="1" applyBorder="1" applyAlignment="1" applyProtection="1">
      <alignment horizontal="center" vertical="center"/>
      <protection locked="0"/>
    </xf>
    <xf numFmtId="167" fontId="22" fillId="7" borderId="0" xfId="7" applyNumberFormat="1" applyFont="1" applyFill="1" applyBorder="1" applyAlignment="1" applyProtection="1">
      <alignment vertical="center"/>
    </xf>
    <xf numFmtId="0" fontId="31" fillId="7" borderId="0" xfId="7" applyFont="1" applyFill="1" applyBorder="1" applyAlignment="1" applyProtection="1">
      <alignment vertical="center"/>
    </xf>
    <xf numFmtId="0" fontId="31" fillId="7" borderId="0" xfId="7" applyFont="1" applyFill="1" applyBorder="1" applyAlignment="1" applyProtection="1">
      <alignment horizontal="center" vertical="center"/>
    </xf>
    <xf numFmtId="1" fontId="31" fillId="7" borderId="0" xfId="7" applyNumberFormat="1" applyFont="1" applyFill="1" applyBorder="1" applyAlignment="1" applyProtection="1">
      <alignment horizontal="center" vertical="center"/>
    </xf>
    <xf numFmtId="174" fontId="22" fillId="7" borderId="0" xfId="14" applyNumberFormat="1" applyFont="1" applyFill="1" applyBorder="1" applyAlignment="1" applyProtection="1">
      <alignment horizontal="center" vertical="center"/>
    </xf>
    <xf numFmtId="1" fontId="22" fillId="0" borderId="0" xfId="7" applyNumberFormat="1" applyFont="1" applyFill="1" applyBorder="1" applyAlignment="1" applyProtection="1">
      <alignment horizontal="center" vertical="center"/>
    </xf>
    <xf numFmtId="0" fontId="15" fillId="0" borderId="0" xfId="0" applyFont="1" applyProtection="1"/>
    <xf numFmtId="175" fontId="29" fillId="10" borderId="3" xfId="6" applyNumberFormat="1" applyFont="1" applyFill="1" applyBorder="1" applyAlignment="1" applyProtection="1">
      <alignment horizontal="center" vertical="center"/>
      <protection locked="0"/>
    </xf>
    <xf numFmtId="0" fontId="26" fillId="0" borderId="0" xfId="11" applyFont="1" applyAlignment="1" applyProtection="1">
      <alignment horizontal="center"/>
    </xf>
    <xf numFmtId="0" fontId="22" fillId="0" borderId="0" xfId="11" applyNumberFormat="1" applyFont="1" applyFill="1" applyBorder="1" applyAlignment="1" applyProtection="1">
      <alignment vertical="center"/>
    </xf>
    <xf numFmtId="0" fontId="22" fillId="0" borderId="0" xfId="11" applyNumberFormat="1" applyFont="1" applyFill="1" applyBorder="1" applyAlignment="1" applyProtection="1">
      <alignment horizontal="center"/>
    </xf>
    <xf numFmtId="0" fontId="22" fillId="2" borderId="0" xfId="11" applyNumberFormat="1" applyFont="1" applyFill="1" applyBorder="1" applyAlignment="1" applyProtection="1">
      <alignment vertical="center"/>
    </xf>
    <xf numFmtId="0" fontId="23" fillId="2" borderId="4" xfId="11" applyNumberFormat="1" applyFont="1" applyFill="1" applyBorder="1" applyAlignment="1" applyProtection="1">
      <alignment horizontal="center"/>
    </xf>
    <xf numFmtId="0" fontId="22" fillId="0" borderId="0" xfId="11" applyNumberFormat="1" applyFont="1" applyFill="1" applyAlignment="1" applyProtection="1">
      <alignment horizontal="center"/>
    </xf>
    <xf numFmtId="4" fontId="22" fillId="0" borderId="0" xfId="11" applyNumberFormat="1" applyFont="1" applyFill="1" applyAlignment="1" applyProtection="1">
      <alignment horizontal="center"/>
    </xf>
    <xf numFmtId="3" fontId="22" fillId="0" borderId="0" xfId="11" applyNumberFormat="1" applyFont="1" applyFill="1" applyAlignment="1" applyProtection="1">
      <alignment horizontal="center"/>
    </xf>
    <xf numFmtId="172" fontId="22" fillId="0" borderId="0" xfId="11" applyNumberFormat="1" applyFont="1" applyFill="1" applyAlignment="1" applyProtection="1">
      <alignment horizontal="center"/>
    </xf>
    <xf numFmtId="172" fontId="22" fillId="0" borderId="0" xfId="11" applyNumberFormat="1" applyFont="1" applyFill="1" applyBorder="1" applyAlignment="1" applyProtection="1">
      <alignment horizontal="center"/>
    </xf>
    <xf numFmtId="0" fontId="22" fillId="0" borderId="0" xfId="11" applyFont="1" applyFill="1" applyAlignment="1" applyProtection="1">
      <alignment horizontal="center"/>
    </xf>
    <xf numFmtId="0" fontId="22" fillId="0" borderId="0" xfId="11" applyFont="1" applyFill="1" applyAlignment="1" applyProtection="1">
      <alignment horizontal="left"/>
    </xf>
    <xf numFmtId="0" fontId="24" fillId="8" borderId="6" xfId="11" applyNumberFormat="1" applyFont="1" applyFill="1" applyBorder="1" applyAlignment="1" applyProtection="1">
      <alignment horizontal="center" vertical="center"/>
    </xf>
    <xf numFmtId="0" fontId="24" fillId="8" borderId="6" xfId="11" applyNumberFormat="1" applyFont="1" applyFill="1" applyBorder="1" applyAlignment="1" applyProtection="1">
      <alignment horizontal="left" vertical="center"/>
    </xf>
    <xf numFmtId="172" fontId="24" fillId="8" borderId="8" xfId="11" applyNumberFormat="1" applyFont="1" applyFill="1" applyBorder="1" applyAlignment="1" applyProtection="1">
      <alignment horizontal="centerContinuous" vertical="center"/>
    </xf>
    <xf numFmtId="4" fontId="24" fillId="8" borderId="7" xfId="11" applyNumberFormat="1" applyFont="1" applyFill="1" applyBorder="1" applyAlignment="1" applyProtection="1">
      <alignment horizontal="centerContinuous" vertical="center"/>
    </xf>
    <xf numFmtId="3" fontId="24" fillId="8" borderId="12" xfId="11" applyNumberFormat="1" applyFont="1" applyFill="1" applyBorder="1" applyAlignment="1" applyProtection="1">
      <alignment horizontal="centerContinuous" vertical="center"/>
    </xf>
    <xf numFmtId="172" fontId="24" fillId="8" borderId="13" xfId="11" applyNumberFormat="1" applyFont="1" applyFill="1" applyBorder="1" applyAlignment="1" applyProtection="1">
      <alignment horizontal="centerContinuous" vertical="center"/>
    </xf>
    <xf numFmtId="172" fontId="24" fillId="8" borderId="14" xfId="11" applyNumberFormat="1" applyFont="1" applyFill="1" applyBorder="1" applyAlignment="1" applyProtection="1">
      <alignment horizontal="centerContinuous" vertical="center"/>
    </xf>
    <xf numFmtId="0" fontId="24" fillId="8" borderId="0" xfId="11" applyNumberFormat="1" applyFont="1" applyFill="1" applyBorder="1" applyAlignment="1" applyProtection="1">
      <alignment horizontal="center" vertical="center"/>
    </xf>
    <xf numFmtId="0" fontId="24" fillId="0" borderId="0" xfId="11" applyFont="1" applyFill="1" applyAlignment="1" applyProtection="1">
      <alignment horizontal="center" vertical="center"/>
    </xf>
    <xf numFmtId="0" fontId="24" fillId="0" borderId="0" xfId="11" applyFont="1" applyFill="1" applyAlignment="1" applyProtection="1">
      <alignment horizontal="left" vertical="center"/>
    </xf>
    <xf numFmtId="0" fontId="24" fillId="8" borderId="11" xfId="11" applyNumberFormat="1" applyFont="1" applyFill="1" applyBorder="1" applyAlignment="1" applyProtection="1">
      <alignment horizontal="center" vertical="center"/>
    </xf>
    <xf numFmtId="0" fontId="24" fillId="8" borderId="11" xfId="11" applyNumberFormat="1" applyFont="1" applyFill="1" applyBorder="1" applyAlignment="1" applyProtection="1">
      <alignment horizontal="left" vertical="center"/>
    </xf>
    <xf numFmtId="0" fontId="32" fillId="8" borderId="11" xfId="11" applyNumberFormat="1" applyFont="1" applyFill="1" applyBorder="1" applyAlignment="1" applyProtection="1">
      <alignment horizontal="center" vertical="center" wrapText="1"/>
    </xf>
    <xf numFmtId="172" fontId="32" fillId="8" borderId="4" xfId="11" applyNumberFormat="1" applyFont="1" applyFill="1" applyBorder="1" applyAlignment="1" applyProtection="1">
      <alignment horizontal="center" vertical="center" wrapText="1"/>
    </xf>
    <xf numFmtId="4" fontId="32" fillId="8" borderId="4" xfId="11" applyNumberFormat="1" applyFont="1" applyFill="1" applyBorder="1" applyAlignment="1" applyProtection="1">
      <alignment horizontal="center" vertical="center" wrapText="1"/>
    </xf>
    <xf numFmtId="3" fontId="32" fillId="8" borderId="5" xfId="11" applyNumberFormat="1" applyFont="1" applyFill="1" applyBorder="1" applyAlignment="1" applyProtection="1">
      <alignment horizontal="center" vertical="center" wrapText="1"/>
    </xf>
    <xf numFmtId="0" fontId="32" fillId="8" borderId="0" xfId="11" applyNumberFormat="1" applyFont="1" applyFill="1" applyBorder="1" applyAlignment="1" applyProtection="1">
      <alignment horizontal="center" vertical="center" wrapText="1"/>
    </xf>
    <xf numFmtId="0" fontId="33" fillId="0" borderId="0" xfId="11" applyFont="1" applyFill="1" applyAlignment="1" applyProtection="1">
      <alignment horizontal="center" vertical="center"/>
    </xf>
    <xf numFmtId="14" fontId="33" fillId="0" borderId="0" xfId="11" applyNumberFormat="1" applyFont="1" applyFill="1" applyAlignment="1" applyProtection="1">
      <alignment horizontal="left" vertical="center"/>
    </xf>
    <xf numFmtId="0" fontId="33" fillId="0" borderId="0" xfId="11" applyFont="1" applyFill="1" applyAlignment="1" applyProtection="1">
      <alignment horizontal="left" vertical="center"/>
    </xf>
    <xf numFmtId="0" fontId="24" fillId="3" borderId="11" xfId="11" applyNumberFormat="1" applyFont="1" applyFill="1" applyBorder="1" applyAlignment="1" applyProtection="1">
      <alignment horizontal="center" vertical="center"/>
    </xf>
    <xf numFmtId="0" fontId="24" fillId="2" borderId="11" xfId="11" applyNumberFormat="1" applyFont="1" applyFill="1" applyBorder="1" applyAlignment="1" applyProtection="1">
      <alignment horizontal="left" vertical="center"/>
    </xf>
    <xf numFmtId="0" fontId="32" fillId="2" borderId="5" xfId="11" applyNumberFormat="1" applyFont="1" applyFill="1" applyBorder="1" applyAlignment="1" applyProtection="1">
      <alignment horizontal="center" vertical="center" wrapText="1"/>
    </xf>
    <xf numFmtId="172" fontId="32" fillId="3" borderId="4" xfId="11" applyNumberFormat="1" applyFont="1" applyFill="1" applyBorder="1" applyAlignment="1" applyProtection="1">
      <alignment horizontal="center" vertical="center" wrapText="1"/>
    </xf>
    <xf numFmtId="0" fontId="32" fillId="3" borderId="11" xfId="11" applyNumberFormat="1" applyFont="1" applyFill="1" applyBorder="1" applyAlignment="1" applyProtection="1">
      <alignment horizontal="center" vertical="center" wrapText="1"/>
    </xf>
    <xf numFmtId="0" fontId="32" fillId="3" borderId="0" xfId="11" applyNumberFormat="1" applyFont="1" applyFill="1" applyBorder="1" applyAlignment="1" applyProtection="1">
      <alignment horizontal="center" vertical="center" wrapText="1"/>
    </xf>
    <xf numFmtId="0" fontId="33" fillId="0" borderId="0" xfId="11" applyNumberFormat="1" applyFont="1" applyFill="1" applyBorder="1" applyAlignment="1" applyProtection="1">
      <alignment horizontal="center"/>
    </xf>
    <xf numFmtId="0" fontId="23" fillId="0" borderId="0" xfId="11" applyFont="1" applyFill="1" applyAlignment="1" applyProtection="1">
      <alignment horizontal="left"/>
    </xf>
    <xf numFmtId="0" fontId="23" fillId="0" borderId="0" xfId="11" applyNumberFormat="1" applyFont="1" applyFill="1" applyBorder="1" applyAlignment="1" applyProtection="1">
      <alignment horizontal="center"/>
    </xf>
    <xf numFmtId="0" fontId="23" fillId="2" borderId="0" xfId="11" applyNumberFormat="1" applyFont="1" applyFill="1" applyBorder="1" applyAlignment="1" applyProtection="1">
      <alignment horizontal="left"/>
    </xf>
    <xf numFmtId="0" fontId="23" fillId="2" borderId="0" xfId="11" applyNumberFormat="1" applyFont="1" applyFill="1" applyBorder="1" applyAlignment="1" applyProtection="1">
      <alignment horizontal="center"/>
    </xf>
    <xf numFmtId="0" fontId="23" fillId="0" borderId="0" xfId="11" applyNumberFormat="1" applyFont="1" applyFill="1" applyBorder="1" applyAlignment="1" applyProtection="1">
      <alignment horizontal="left"/>
    </xf>
    <xf numFmtId="172" fontId="23" fillId="0" borderId="0" xfId="11" applyNumberFormat="1" applyFont="1" applyFill="1" applyAlignment="1" applyProtection="1">
      <alignment horizontal="center"/>
    </xf>
    <xf numFmtId="4" fontId="23" fillId="0" borderId="0" xfId="11" applyNumberFormat="1" applyFont="1" applyFill="1" applyAlignment="1" applyProtection="1">
      <alignment horizontal="center"/>
    </xf>
    <xf numFmtId="3" fontId="23" fillId="0" borderId="0" xfId="11" applyNumberFormat="1" applyFont="1" applyFill="1" applyAlignment="1" applyProtection="1">
      <alignment horizontal="center"/>
    </xf>
    <xf numFmtId="172" fontId="23" fillId="0" borderId="0" xfId="11" applyNumberFormat="1" applyFont="1" applyFill="1" applyBorder="1" applyAlignment="1" applyProtection="1">
      <alignment horizontal="center"/>
    </xf>
    <xf numFmtId="0" fontId="23" fillId="0" borderId="0" xfId="11" applyFont="1" applyFill="1" applyAlignment="1" applyProtection="1">
      <alignment horizontal="center"/>
    </xf>
    <xf numFmtId="0" fontId="25" fillId="0" borderId="0" xfId="11" applyNumberFormat="1" applyFont="1" applyFill="1" applyBorder="1" applyAlignment="1" applyProtection="1">
      <alignment horizontal="center"/>
    </xf>
    <xf numFmtId="0" fontId="26" fillId="0" borderId="0" xfId="11" applyFont="1" applyProtection="1"/>
    <xf numFmtId="0" fontId="13" fillId="0" borderId="0" xfId="13" applyFont="1" applyProtection="1"/>
    <xf numFmtId="0" fontId="23" fillId="0" borderId="0" xfId="11" applyNumberFormat="1" applyFont="1" applyFill="1" applyAlignment="1" applyProtection="1">
      <alignment horizontal="center"/>
    </xf>
    <xf numFmtId="0" fontId="30" fillId="0" borderId="0" xfId="11" applyNumberFormat="1" applyFont="1" applyFill="1" applyBorder="1" applyAlignment="1" applyProtection="1">
      <alignment vertical="center"/>
    </xf>
    <xf numFmtId="0" fontId="22" fillId="3" borderId="33" xfId="11" applyNumberFormat="1" applyFont="1" applyFill="1" applyBorder="1" applyAlignment="1" applyProtection="1">
      <alignment horizontal="left" vertical="center"/>
    </xf>
    <xf numFmtId="0" fontId="28" fillId="0" borderId="10" xfId="11" applyFont="1" applyBorder="1" applyAlignment="1" applyProtection="1">
      <alignment horizontal="center"/>
    </xf>
    <xf numFmtId="0" fontId="28" fillId="0" borderId="10" xfId="11" applyFont="1" applyBorder="1" applyAlignment="1" applyProtection="1">
      <alignment horizontal="left"/>
    </xf>
    <xf numFmtId="0" fontId="28" fillId="0" borderId="9" xfId="11" applyFont="1" applyBorder="1" applyAlignment="1" applyProtection="1">
      <alignment horizontal="center"/>
    </xf>
    <xf numFmtId="0" fontId="28" fillId="0" borderId="38" xfId="11" applyFont="1" applyBorder="1" applyAlignment="1" applyProtection="1">
      <alignment horizontal="left"/>
    </xf>
    <xf numFmtId="0" fontId="28" fillId="0" borderId="19" xfId="11" applyFont="1" applyBorder="1" applyAlignment="1" applyProtection="1">
      <alignment horizontal="left"/>
    </xf>
    <xf numFmtId="0" fontId="28" fillId="0" borderId="31" xfId="11" applyNumberFormat="1" applyFont="1" applyBorder="1" applyAlignment="1" applyProtection="1">
      <alignment horizontal="center"/>
    </xf>
    <xf numFmtId="4" fontId="28" fillId="0" borderId="31" xfId="11" applyNumberFormat="1" applyFont="1" applyBorder="1" applyAlignment="1" applyProtection="1">
      <alignment horizontal="right"/>
    </xf>
    <xf numFmtId="3" fontId="28" fillId="0" borderId="32" xfId="11" applyNumberFormat="1" applyFont="1" applyBorder="1" applyAlignment="1" applyProtection="1">
      <alignment horizontal="center"/>
    </xf>
    <xf numFmtId="3" fontId="28" fillId="0" borderId="39" xfId="11" applyNumberFormat="1" applyFont="1" applyBorder="1" applyAlignment="1" applyProtection="1">
      <alignment horizontal="center"/>
    </xf>
    <xf numFmtId="172" fontId="28" fillId="0" borderId="0" xfId="11" applyNumberFormat="1" applyFont="1" applyFill="1" applyBorder="1" applyAlignment="1" applyProtection="1">
      <alignment horizontal="center"/>
    </xf>
    <xf numFmtId="172" fontId="28" fillId="0" borderId="0" xfId="11" applyNumberFormat="1" applyFont="1" applyBorder="1" applyAlignment="1" applyProtection="1">
      <alignment horizontal="center"/>
    </xf>
    <xf numFmtId="0" fontId="28" fillId="0" borderId="10" xfId="11" applyNumberFormat="1" applyFont="1" applyFill="1" applyBorder="1" applyAlignment="1" applyProtection="1">
      <alignment horizontal="center"/>
    </xf>
    <xf numFmtId="0" fontId="28" fillId="0" borderId="0" xfId="11" applyNumberFormat="1" applyFont="1" applyFill="1" applyBorder="1" applyAlignment="1" applyProtection="1">
      <alignment horizontal="center"/>
    </xf>
    <xf numFmtId="0" fontId="28" fillId="0" borderId="0" xfId="11" applyFont="1" applyFill="1" applyBorder="1" applyAlignment="1" applyProtection="1">
      <alignment horizontal="center"/>
    </xf>
    <xf numFmtId="0" fontId="28" fillId="0" borderId="0" xfId="11" applyFont="1" applyFill="1" applyBorder="1" applyAlignment="1" applyProtection="1">
      <alignment horizontal="left"/>
    </xf>
    <xf numFmtId="0" fontId="29" fillId="9" borderId="10" xfId="11" quotePrefix="1" applyNumberFormat="1" applyFont="1" applyFill="1" applyBorder="1" applyAlignment="1" applyProtection="1">
      <alignment horizontal="center"/>
    </xf>
    <xf numFmtId="0" fontId="29" fillId="10" borderId="6" xfId="11" applyFont="1" applyFill="1" applyBorder="1" applyAlignment="1" applyProtection="1">
      <alignment horizontal="left"/>
    </xf>
    <xf numFmtId="0" fontId="29" fillId="10" borderId="11" xfId="11" applyNumberFormat="1" applyFont="1" applyFill="1" applyBorder="1" applyAlignment="1" applyProtection="1">
      <alignment horizontal="center"/>
    </xf>
    <xf numFmtId="0" fontId="29" fillId="0" borderId="40" xfId="11" applyFont="1" applyFill="1" applyBorder="1" applyAlignment="1" applyProtection="1">
      <alignment horizontal="left"/>
    </xf>
    <xf numFmtId="0" fontId="29" fillId="0" borderId="11" xfId="11" applyNumberFormat="1" applyFont="1" applyFill="1" applyBorder="1" applyAlignment="1" applyProtection="1">
      <alignment horizontal="center"/>
    </xf>
    <xf numFmtId="0" fontId="29" fillId="10" borderId="11" xfId="11" applyNumberFormat="1" applyFont="1" applyFill="1" applyBorder="1" applyAlignment="1" applyProtection="1">
      <alignment horizontal="center"/>
      <protection locked="0"/>
    </xf>
    <xf numFmtId="2" fontId="29" fillId="10" borderId="31" xfId="11" applyNumberFormat="1" applyFont="1" applyFill="1" applyBorder="1" applyAlignment="1" applyProtection="1">
      <alignment horizontal="center"/>
      <protection locked="0"/>
    </xf>
    <xf numFmtId="4" fontId="29" fillId="10" borderId="31" xfId="11" applyNumberFormat="1" applyFont="1" applyFill="1" applyBorder="1" applyAlignment="1" applyProtection="1">
      <alignment horizontal="right"/>
      <protection locked="0"/>
    </xf>
    <xf numFmtId="2" fontId="29" fillId="0" borderId="31" xfId="11" applyNumberFormat="1" applyFont="1" applyFill="1" applyBorder="1" applyAlignment="1" applyProtection="1">
      <alignment horizontal="center"/>
    </xf>
    <xf numFmtId="4" fontId="34" fillId="10" borderId="5" xfId="11" applyNumberFormat="1" applyFont="1" applyFill="1" applyBorder="1" applyAlignment="1" applyProtection="1">
      <alignment horizontal="right"/>
      <protection locked="0"/>
    </xf>
    <xf numFmtId="3" fontId="34" fillId="10" borderId="5" xfId="11" applyNumberFormat="1" applyFont="1" applyFill="1" applyBorder="1" applyAlignment="1" applyProtection="1">
      <alignment horizontal="center"/>
      <protection locked="0"/>
    </xf>
    <xf numFmtId="3" fontId="34" fillId="10" borderId="41" xfId="11" applyNumberFormat="1" applyFont="1" applyFill="1" applyBorder="1" applyAlignment="1" applyProtection="1">
      <alignment horizontal="center"/>
      <protection locked="0"/>
    </xf>
    <xf numFmtId="172" fontId="29" fillId="5" borderId="0" xfId="11" applyNumberFormat="1" applyFont="1" applyFill="1" applyBorder="1" applyAlignment="1" applyProtection="1">
      <alignment horizontal="center"/>
    </xf>
    <xf numFmtId="0" fontId="29" fillId="5" borderId="10" xfId="11" applyNumberFormat="1" applyFont="1" applyFill="1" applyBorder="1" applyAlignment="1" applyProtection="1">
      <alignment horizontal="center"/>
    </xf>
    <xf numFmtId="0" fontId="29" fillId="0" borderId="0" xfId="11" applyNumberFormat="1" applyFont="1" applyFill="1" applyBorder="1" applyAlignment="1" applyProtection="1">
      <alignment horizontal="center"/>
    </xf>
    <xf numFmtId="0" fontId="29" fillId="0" borderId="0" xfId="11" quotePrefix="1" applyFont="1" applyFill="1" applyAlignment="1" applyProtection="1">
      <alignment horizontal="center"/>
    </xf>
    <xf numFmtId="0" fontId="29" fillId="0" borderId="0" xfId="11" applyFont="1" applyFill="1" applyBorder="1" applyAlignment="1" applyProtection="1">
      <alignment horizontal="left"/>
    </xf>
    <xf numFmtId="0" fontId="29" fillId="10" borderId="19" xfId="11" applyFont="1" applyFill="1" applyBorder="1" applyAlignment="1" applyProtection="1">
      <alignment horizontal="left"/>
    </xf>
    <xf numFmtId="0" fontId="29" fillId="10" borderId="19" xfId="11" applyNumberFormat="1" applyFont="1" applyFill="1" applyBorder="1" applyAlignment="1" applyProtection="1">
      <alignment horizontal="center"/>
    </xf>
    <xf numFmtId="0" fontId="29" fillId="0" borderId="42" xfId="11" applyFont="1" applyFill="1" applyBorder="1" applyAlignment="1" applyProtection="1">
      <alignment horizontal="left"/>
    </xf>
    <xf numFmtId="0" fontId="29" fillId="0" borderId="19" xfId="11" applyNumberFormat="1" applyFont="1" applyFill="1" applyBorder="1" applyAlignment="1" applyProtection="1">
      <alignment horizontal="center"/>
    </xf>
    <xf numFmtId="0" fontId="29" fillId="10" borderId="19" xfId="11" applyNumberFormat="1" applyFont="1" applyFill="1" applyBorder="1" applyAlignment="1" applyProtection="1">
      <alignment horizontal="center"/>
      <protection locked="0"/>
    </xf>
    <xf numFmtId="4" fontId="34" fillId="10" borderId="32" xfId="11" applyNumberFormat="1" applyFont="1" applyFill="1" applyBorder="1" applyAlignment="1" applyProtection="1">
      <alignment horizontal="right"/>
      <protection locked="0"/>
    </xf>
    <xf numFmtId="3" fontId="34" fillId="10" borderId="32" xfId="11" applyNumberFormat="1" applyFont="1" applyFill="1" applyBorder="1" applyAlignment="1" applyProtection="1">
      <alignment horizontal="center"/>
      <protection locked="0"/>
    </xf>
    <xf numFmtId="3" fontId="34" fillId="10" borderId="39" xfId="11" applyNumberFormat="1" applyFont="1" applyFill="1" applyBorder="1" applyAlignment="1" applyProtection="1">
      <alignment horizontal="center"/>
      <protection locked="0"/>
    </xf>
    <xf numFmtId="0" fontId="28" fillId="0" borderId="6" xfId="11" applyFont="1" applyBorder="1" applyAlignment="1" applyProtection="1">
      <alignment horizontal="center"/>
    </xf>
    <xf numFmtId="0" fontId="28" fillId="0" borderId="6" xfId="11" applyFont="1" applyBorder="1" applyAlignment="1" applyProtection="1">
      <alignment horizontal="left"/>
    </xf>
    <xf numFmtId="0" fontId="28" fillId="0" borderId="40" xfId="11" applyFont="1" applyBorder="1" applyAlignment="1" applyProtection="1">
      <alignment horizontal="left"/>
    </xf>
    <xf numFmtId="0" fontId="28" fillId="0" borderId="0" xfId="11" applyNumberFormat="1" applyFont="1" applyBorder="1" applyAlignment="1" applyProtection="1">
      <alignment horizontal="center"/>
    </xf>
    <xf numFmtId="4" fontId="28" fillId="0" borderId="0" xfId="11" applyNumberFormat="1" applyFont="1" applyBorder="1" applyAlignment="1" applyProtection="1">
      <alignment horizontal="right"/>
    </xf>
    <xf numFmtId="4" fontId="34" fillId="0" borderId="9" xfId="11" applyNumberFormat="1" applyFont="1" applyBorder="1" applyAlignment="1" applyProtection="1">
      <alignment horizontal="right"/>
    </xf>
    <xf numFmtId="3" fontId="34" fillId="0" borderId="9" xfId="11" applyNumberFormat="1" applyFont="1" applyBorder="1" applyAlignment="1" applyProtection="1">
      <alignment horizontal="center"/>
    </xf>
    <xf numFmtId="3" fontId="34" fillId="0" borderId="43" xfId="11" applyNumberFormat="1" applyFont="1" applyBorder="1" applyAlignment="1" applyProtection="1">
      <alignment horizontal="center"/>
    </xf>
    <xf numFmtId="172" fontId="28" fillId="0" borderId="8" xfId="11" applyNumberFormat="1" applyFont="1" applyFill="1" applyBorder="1" applyAlignment="1" applyProtection="1">
      <alignment horizontal="center"/>
    </xf>
    <xf numFmtId="172" fontId="28" fillId="0" borderId="8" xfId="11" applyNumberFormat="1" applyFont="1" applyBorder="1" applyAlignment="1" applyProtection="1">
      <alignment horizontal="center"/>
    </xf>
    <xf numFmtId="0" fontId="28" fillId="0" borderId="6" xfId="11" applyNumberFormat="1" applyFont="1" applyFill="1" applyBorder="1" applyAlignment="1" applyProtection="1">
      <alignment horizontal="center"/>
    </xf>
    <xf numFmtId="4" fontId="34" fillId="10" borderId="32" xfId="11" applyNumberFormat="1" applyFont="1" applyFill="1" applyBorder="1" applyAlignment="1" applyProtection="1">
      <alignment horizontal="right"/>
    </xf>
    <xf numFmtId="3" fontId="34" fillId="10" borderId="32" xfId="11" applyNumberFormat="1" applyFont="1" applyFill="1" applyBorder="1" applyAlignment="1" applyProtection="1">
      <alignment horizontal="center"/>
    </xf>
    <xf numFmtId="3" fontId="34" fillId="10" borderId="39" xfId="11" applyNumberFormat="1" applyFont="1" applyFill="1" applyBorder="1" applyAlignment="1" applyProtection="1">
      <alignment horizontal="center"/>
    </xf>
    <xf numFmtId="0" fontId="29" fillId="9" borderId="10" xfId="11" applyFont="1" applyFill="1" applyBorder="1" applyAlignment="1" applyProtection="1">
      <alignment horizontal="center"/>
    </xf>
    <xf numFmtId="0" fontId="29" fillId="0" borderId="0" xfId="11" quotePrefix="1" applyFont="1" applyFill="1" applyAlignment="1" applyProtection="1">
      <alignment horizontal="left"/>
    </xf>
    <xf numFmtId="0" fontId="29" fillId="0" borderId="0" xfId="11" applyFont="1" applyFill="1" applyAlignment="1" applyProtection="1">
      <alignment horizontal="left"/>
    </xf>
    <xf numFmtId="0" fontId="28" fillId="0" borderId="6" xfId="11" applyFont="1" applyFill="1" applyBorder="1" applyAlignment="1" applyProtection="1">
      <alignment horizontal="left"/>
    </xf>
    <xf numFmtId="0" fontId="28" fillId="0" borderId="8" xfId="11" applyNumberFormat="1" applyFont="1" applyBorder="1" applyAlignment="1" applyProtection="1">
      <alignment horizontal="center"/>
    </xf>
    <xf numFmtId="4" fontId="28" fillId="0" borderId="8" xfId="11" applyNumberFormat="1" applyFont="1" applyBorder="1" applyAlignment="1" applyProtection="1">
      <alignment horizontal="right"/>
    </xf>
    <xf numFmtId="4" fontId="34" fillId="0" borderId="7" xfId="11" applyNumberFormat="1" applyFont="1" applyBorder="1" applyAlignment="1" applyProtection="1">
      <alignment horizontal="right"/>
    </xf>
    <xf numFmtId="3" fontId="34" fillId="0" borderId="7" xfId="11" applyNumberFormat="1" applyFont="1" applyBorder="1" applyAlignment="1" applyProtection="1">
      <alignment horizontal="center"/>
    </xf>
    <xf numFmtId="3" fontId="34" fillId="0" borderId="12" xfId="11" applyNumberFormat="1" applyFont="1" applyBorder="1" applyAlignment="1" applyProtection="1">
      <alignment horizontal="center"/>
    </xf>
    <xf numFmtId="0" fontId="29" fillId="0" borderId="44" xfId="11" applyFont="1" applyFill="1" applyBorder="1" applyAlignment="1" applyProtection="1">
      <alignment horizontal="left"/>
    </xf>
    <xf numFmtId="0" fontId="29" fillId="0" borderId="45" xfId="11" applyNumberFormat="1" applyFont="1" applyFill="1" applyBorder="1" applyAlignment="1" applyProtection="1">
      <alignment horizontal="center"/>
    </xf>
    <xf numFmtId="0" fontId="29" fillId="10" borderId="45" xfId="11" applyNumberFormat="1" applyFont="1" applyFill="1" applyBorder="1" applyAlignment="1" applyProtection="1">
      <alignment horizontal="center"/>
      <protection locked="0"/>
    </xf>
    <xf numFmtId="2" fontId="29" fillId="10" borderId="46" xfId="11" applyNumberFormat="1" applyFont="1" applyFill="1" applyBorder="1" applyAlignment="1" applyProtection="1">
      <alignment horizontal="center"/>
      <protection locked="0"/>
    </xf>
    <xf numFmtId="4" fontId="29" fillId="10" borderId="46" xfId="11" applyNumberFormat="1" applyFont="1" applyFill="1" applyBorder="1" applyAlignment="1" applyProtection="1">
      <alignment horizontal="right"/>
      <protection locked="0"/>
    </xf>
    <xf numFmtId="2" fontId="29" fillId="0" borderId="46" xfId="11" applyNumberFormat="1" applyFont="1" applyFill="1" applyBorder="1" applyAlignment="1" applyProtection="1">
      <alignment horizontal="center"/>
    </xf>
    <xf numFmtId="4" fontId="34" fillId="10" borderId="47" xfId="11" applyNumberFormat="1" applyFont="1" applyFill="1" applyBorder="1" applyAlignment="1" applyProtection="1">
      <alignment horizontal="right"/>
    </xf>
    <xf numFmtId="3" fontId="34" fillId="10" borderId="47" xfId="11" applyNumberFormat="1" applyFont="1" applyFill="1" applyBorder="1" applyAlignment="1" applyProtection="1">
      <alignment horizontal="center"/>
    </xf>
    <xf numFmtId="3" fontId="34" fillId="10" borderId="48" xfId="11" applyNumberFormat="1" applyFont="1" applyFill="1" applyBorder="1" applyAlignment="1" applyProtection="1">
      <alignment horizontal="center"/>
    </xf>
    <xf numFmtId="0" fontId="28" fillId="0" borderId="9" xfId="0" applyNumberFormat="1" applyFont="1" applyFill="1" applyBorder="1" applyAlignment="1" applyProtection="1">
      <alignment horizontal="left"/>
    </xf>
    <xf numFmtId="0" fontId="28" fillId="0" borderId="7" xfId="11" applyFont="1" applyBorder="1" applyAlignment="1" applyProtection="1">
      <alignment horizontal="center"/>
    </xf>
    <xf numFmtId="0" fontId="29" fillId="0" borderId="9" xfId="0" applyFont="1" applyFill="1" applyBorder="1" applyAlignment="1" applyProtection="1">
      <alignment horizontal="left"/>
    </xf>
    <xf numFmtId="0" fontId="29" fillId="5" borderId="9" xfId="11" applyNumberFormat="1" applyFont="1" applyFill="1" applyBorder="1" applyAlignment="1" applyProtection="1">
      <alignment horizontal="center"/>
    </xf>
    <xf numFmtId="4" fontId="34" fillId="0" borderId="32" xfId="11" applyNumberFormat="1" applyFont="1" applyFill="1" applyBorder="1" applyAlignment="1" applyProtection="1">
      <alignment horizontal="right"/>
    </xf>
    <xf numFmtId="3" fontId="34" fillId="0" borderId="39" xfId="11" applyNumberFormat="1" applyFont="1" applyFill="1" applyBorder="1" applyAlignment="1" applyProtection="1">
      <alignment horizontal="center"/>
    </xf>
    <xf numFmtId="0" fontId="29" fillId="5" borderId="9" xfId="0" applyFont="1" applyFill="1" applyBorder="1" applyProtection="1"/>
    <xf numFmtId="0" fontId="29" fillId="0" borderId="0" xfId="0" quotePrefix="1" applyFont="1" applyFill="1" applyAlignment="1" applyProtection="1">
      <alignment horizontal="center"/>
    </xf>
    <xf numFmtId="0" fontId="29" fillId="0" borderId="0" xfId="0" applyFont="1" applyFill="1" applyAlignment="1" applyProtection="1">
      <alignment horizontal="left"/>
    </xf>
    <xf numFmtId="0" fontId="29" fillId="0" borderId="0" xfId="0" applyFont="1" applyFill="1" applyBorder="1" applyAlignment="1" applyProtection="1">
      <alignment horizontal="left"/>
    </xf>
    <xf numFmtId="0" fontId="29" fillId="5" borderId="5" xfId="0" applyFont="1" applyFill="1" applyBorder="1" applyProtection="1"/>
    <xf numFmtId="0" fontId="29" fillId="0" borderId="6" xfId="11" applyNumberFormat="1" applyFont="1" applyFill="1" applyBorder="1" applyAlignment="1" applyProtection="1">
      <alignment horizontal="center"/>
    </xf>
    <xf numFmtId="2" fontId="29" fillId="0" borderId="8" xfId="11" applyNumberFormat="1" applyFont="1" applyFill="1" applyBorder="1" applyAlignment="1" applyProtection="1">
      <alignment horizontal="center"/>
    </xf>
    <xf numFmtId="4" fontId="29" fillId="10" borderId="8" xfId="11" applyNumberFormat="1" applyFont="1" applyFill="1" applyBorder="1" applyAlignment="1" applyProtection="1">
      <alignment horizontal="right"/>
      <protection locked="0"/>
    </xf>
    <xf numFmtId="4" fontId="34" fillId="0" borderId="7" xfId="11" applyNumberFormat="1" applyFont="1" applyFill="1" applyBorder="1" applyAlignment="1" applyProtection="1">
      <alignment horizontal="right"/>
    </xf>
    <xf numFmtId="3" fontId="34" fillId="10" borderId="7" xfId="11" applyNumberFormat="1" applyFont="1" applyFill="1" applyBorder="1" applyAlignment="1" applyProtection="1">
      <alignment horizontal="center"/>
      <protection locked="0"/>
    </xf>
    <xf numFmtId="3" fontId="34" fillId="0" borderId="12" xfId="11" applyNumberFormat="1" applyFont="1" applyFill="1" applyBorder="1" applyAlignment="1" applyProtection="1">
      <alignment horizontal="center"/>
    </xf>
    <xf numFmtId="4" fontId="34" fillId="0" borderId="47" xfId="11" applyNumberFormat="1" applyFont="1" applyFill="1" applyBorder="1" applyAlignment="1" applyProtection="1">
      <alignment horizontal="right"/>
    </xf>
    <xf numFmtId="3" fontId="34" fillId="10" borderId="47" xfId="11" applyNumberFormat="1" applyFont="1" applyFill="1" applyBorder="1" applyAlignment="1" applyProtection="1">
      <alignment horizontal="center"/>
      <protection locked="0"/>
    </xf>
    <xf numFmtId="3" fontId="34" fillId="0" borderId="48" xfId="11" applyNumberFormat="1" applyFont="1" applyFill="1" applyBorder="1" applyAlignment="1" applyProtection="1">
      <alignment horizontal="center"/>
    </xf>
    <xf numFmtId="0" fontId="28" fillId="0" borderId="8" xfId="11" applyFont="1" applyBorder="1" applyAlignment="1" applyProtection="1">
      <alignment horizontal="center"/>
    </xf>
    <xf numFmtId="0" fontId="28" fillId="0" borderId="8" xfId="11" applyFont="1" applyFill="1" applyBorder="1" applyAlignment="1" applyProtection="1">
      <alignment horizontal="left"/>
    </xf>
    <xf numFmtId="0" fontId="28" fillId="0" borderId="0" xfId="11" applyFont="1" applyBorder="1" applyAlignment="1" applyProtection="1">
      <alignment horizontal="left"/>
    </xf>
    <xf numFmtId="4" fontId="34" fillId="0" borderId="0" xfId="11" applyNumberFormat="1" applyFont="1" applyBorder="1" applyAlignment="1" applyProtection="1">
      <alignment horizontal="right"/>
    </xf>
    <xf numFmtId="3" fontId="34" fillId="0" borderId="0" xfId="11" applyNumberFormat="1" applyFont="1" applyBorder="1" applyAlignment="1" applyProtection="1">
      <alignment horizontal="center"/>
    </xf>
    <xf numFmtId="0" fontId="28" fillId="0" borderId="8" xfId="11" applyNumberFormat="1" applyFont="1" applyFill="1" applyBorder="1" applyAlignment="1" applyProtection="1">
      <alignment horizontal="center"/>
    </xf>
    <xf numFmtId="0" fontId="29" fillId="2" borderId="0" xfId="11" applyNumberFormat="1" applyFont="1" applyFill="1" applyBorder="1" applyAlignment="1" applyProtection="1">
      <alignment horizontal="left"/>
    </xf>
    <xf numFmtId="0" fontId="29" fillId="2" borderId="0" xfId="11" applyNumberFormat="1" applyFont="1" applyFill="1" applyBorder="1" applyAlignment="1" applyProtection="1">
      <alignment horizontal="center"/>
    </xf>
    <xf numFmtId="0" fontId="29" fillId="0" borderId="0" xfId="11" applyNumberFormat="1" applyFont="1" applyFill="1" applyBorder="1" applyAlignment="1" applyProtection="1">
      <alignment horizontal="left"/>
    </xf>
    <xf numFmtId="4" fontId="34" fillId="0" borderId="0" xfId="11" applyNumberFormat="1" applyFont="1" applyFill="1" applyAlignment="1" applyProtection="1">
      <alignment horizontal="left"/>
    </xf>
    <xf numFmtId="172" fontId="29" fillId="0" borderId="0" xfId="11" applyNumberFormat="1" applyFont="1" applyFill="1" applyAlignment="1" applyProtection="1">
      <alignment horizontal="center"/>
    </xf>
    <xf numFmtId="4" fontId="29" fillId="0" borderId="0" xfId="11" applyNumberFormat="1" applyFont="1" applyFill="1" applyAlignment="1" applyProtection="1">
      <alignment horizontal="center"/>
    </xf>
    <xf numFmtId="3" fontId="29" fillId="0" borderId="0" xfId="11" applyNumberFormat="1" applyFont="1" applyFill="1" applyAlignment="1" applyProtection="1">
      <alignment horizontal="center"/>
    </xf>
    <xf numFmtId="172" fontId="29" fillId="0" borderId="0" xfId="11" applyNumberFormat="1" applyFont="1" applyFill="1" applyBorder="1" applyAlignment="1" applyProtection="1">
      <alignment horizontal="center"/>
    </xf>
    <xf numFmtId="0" fontId="29" fillId="0" borderId="0" xfId="11" applyFont="1" applyFill="1" applyAlignment="1" applyProtection="1">
      <alignment horizontal="center"/>
    </xf>
    <xf numFmtId="0" fontId="28" fillId="2" borderId="0" xfId="11" applyNumberFormat="1" applyFont="1" applyFill="1" applyBorder="1" applyAlignment="1" applyProtection="1">
      <alignment horizontal="left"/>
    </xf>
    <xf numFmtId="0" fontId="28" fillId="2" borderId="0" xfId="11" applyNumberFormat="1" applyFont="1" applyFill="1" applyBorder="1" applyAlignment="1" applyProtection="1">
      <alignment horizontal="center"/>
    </xf>
    <xf numFmtId="0" fontId="28" fillId="0" borderId="0" xfId="11" applyNumberFormat="1" applyFont="1" applyFill="1" applyBorder="1" applyAlignment="1" applyProtection="1">
      <alignment horizontal="left"/>
    </xf>
    <xf numFmtId="172" fontId="28" fillId="0" borderId="0" xfId="11" applyNumberFormat="1" applyFont="1" applyFill="1" applyAlignment="1" applyProtection="1">
      <alignment horizontal="center"/>
    </xf>
    <xf numFmtId="4" fontId="28" fillId="0" borderId="0" xfId="11" applyNumberFormat="1" applyFont="1" applyFill="1" applyAlignment="1" applyProtection="1">
      <alignment horizontal="center"/>
    </xf>
    <xf numFmtId="3" fontId="28" fillId="0" borderId="0" xfId="11" applyNumberFormat="1" applyFont="1" applyFill="1" applyAlignment="1" applyProtection="1">
      <alignment horizontal="center"/>
    </xf>
    <xf numFmtId="0" fontId="28" fillId="0" borderId="0" xfId="11" applyFont="1" applyFill="1" applyAlignment="1" applyProtection="1">
      <alignment horizontal="center"/>
    </xf>
    <xf numFmtId="0" fontId="28" fillId="0" borderId="0" xfId="11" applyFont="1" applyFill="1" applyAlignment="1" applyProtection="1">
      <alignment horizontal="left"/>
    </xf>
    <xf numFmtId="0" fontId="29" fillId="0" borderId="0" xfId="11" applyNumberFormat="1" applyFont="1" applyFill="1" applyAlignment="1" applyProtection="1"/>
    <xf numFmtId="0" fontId="29" fillId="0" borderId="0" xfId="11" applyNumberFormat="1" applyFont="1" applyFill="1" applyAlignment="1" applyProtection="1">
      <alignment wrapText="1"/>
    </xf>
    <xf numFmtId="0" fontId="34" fillId="0" borderId="0" xfId="11" applyNumberFormat="1" applyFont="1" applyFill="1" applyBorder="1" applyAlignment="1" applyProtection="1">
      <alignment horizontal="center"/>
    </xf>
    <xf numFmtId="0" fontId="34" fillId="2" borderId="0" xfId="11" applyNumberFormat="1" applyFont="1" applyFill="1" applyBorder="1" applyAlignment="1" applyProtection="1">
      <alignment horizontal="left"/>
    </xf>
    <xf numFmtId="0" fontId="34" fillId="2" borderId="0" xfId="11" applyNumberFormat="1" applyFont="1" applyFill="1" applyBorder="1" applyAlignment="1" applyProtection="1">
      <alignment horizontal="center"/>
    </xf>
    <xf numFmtId="172" fontId="34" fillId="0" borderId="0" xfId="11" applyNumberFormat="1" applyFont="1" applyFill="1" applyAlignment="1" applyProtection="1">
      <alignment horizontal="center"/>
    </xf>
    <xf numFmtId="0" fontId="29" fillId="0" borderId="0" xfId="11" applyFont="1" applyProtection="1"/>
    <xf numFmtId="3" fontId="34" fillId="0" borderId="0" xfId="11" applyNumberFormat="1" applyFont="1" applyFill="1" applyAlignment="1" applyProtection="1">
      <alignment horizontal="center"/>
    </xf>
    <xf numFmtId="172" fontId="34" fillId="0" borderId="0" xfId="11" applyNumberFormat="1" applyFont="1" applyFill="1" applyBorder="1" applyAlignment="1" applyProtection="1">
      <alignment horizontal="center"/>
    </xf>
    <xf numFmtId="0" fontId="34" fillId="0" borderId="0" xfId="11" applyFont="1" applyFill="1" applyAlignment="1" applyProtection="1">
      <alignment horizontal="center"/>
    </xf>
    <xf numFmtId="0" fontId="34" fillId="0" borderId="0" xfId="11" applyFont="1" applyFill="1" applyAlignment="1" applyProtection="1">
      <alignment horizontal="left"/>
    </xf>
    <xf numFmtId="0" fontId="29" fillId="3" borderId="34" xfId="11" applyNumberFormat="1" applyFont="1" applyFill="1" applyBorder="1" applyAlignment="1" applyProtection="1">
      <alignment horizontal="center" vertical="center" wrapText="1"/>
    </xf>
    <xf numFmtId="172" fontId="23" fillId="3" borderId="35" xfId="11" applyNumberFormat="1" applyFont="1" applyFill="1" applyBorder="1" applyAlignment="1" applyProtection="1">
      <alignment horizontal="center" vertical="center" wrapText="1"/>
    </xf>
    <xf numFmtId="4" fontId="23" fillId="3" borderId="35" xfId="11" applyNumberFormat="1" applyFont="1" applyFill="1" applyBorder="1" applyAlignment="1" applyProtection="1">
      <alignment horizontal="center" vertical="center" wrapText="1"/>
    </xf>
    <xf numFmtId="3" fontId="23" fillId="3" borderId="36" xfId="11" applyNumberFormat="1" applyFont="1" applyFill="1" applyBorder="1" applyAlignment="1" applyProtection="1">
      <alignment horizontal="center" vertical="center" wrapText="1"/>
    </xf>
    <xf numFmtId="3" fontId="23" fillId="3" borderId="37" xfId="11" applyNumberFormat="1" applyFont="1" applyFill="1" applyBorder="1" applyAlignment="1" applyProtection="1">
      <alignment horizontal="center" vertical="center" wrapText="1"/>
    </xf>
    <xf numFmtId="0" fontId="28" fillId="0" borderId="0" xfId="7" applyFont="1" applyFill="1" applyBorder="1" applyAlignment="1" applyProtection="1">
      <alignment horizontal="centerContinuous" vertical="center" wrapText="1"/>
    </xf>
    <xf numFmtId="0" fontId="29" fillId="6" borderId="49" xfId="7" applyFont="1" applyFill="1" applyBorder="1" applyAlignment="1" applyProtection="1">
      <alignment horizontal="center" vertical="center"/>
    </xf>
    <xf numFmtId="0" fontId="29" fillId="0" borderId="53" xfId="7" applyFont="1" applyFill="1" applyBorder="1" applyAlignment="1" applyProtection="1">
      <alignment horizontal="center" vertical="center"/>
    </xf>
    <xf numFmtId="0" fontId="29" fillId="6" borderId="0" xfId="7" applyFont="1" applyFill="1" applyBorder="1" applyAlignment="1" applyProtection="1">
      <alignment horizontal="center" vertical="center"/>
    </xf>
    <xf numFmtId="0" fontId="29" fillId="6" borderId="50" xfId="7" applyFont="1" applyFill="1" applyBorder="1" applyAlignment="1" applyProtection="1">
      <alignment horizontal="center" vertical="center"/>
    </xf>
    <xf numFmtId="0" fontId="29" fillId="6" borderId="1" xfId="7" applyFont="1" applyFill="1" applyBorder="1" applyAlignment="1" applyProtection="1">
      <alignment horizontal="center" vertical="center"/>
    </xf>
    <xf numFmtId="167" fontId="29" fillId="6" borderId="0" xfId="7" applyNumberFormat="1" applyFont="1" applyFill="1" applyBorder="1" applyAlignment="1" applyProtection="1">
      <alignment vertical="center"/>
    </xf>
    <xf numFmtId="170" fontId="29" fillId="10" borderId="26" xfId="7" applyNumberFormat="1" applyFont="1" applyFill="1" applyBorder="1" applyAlignment="1" applyProtection="1">
      <alignment horizontal="center" vertical="center"/>
      <protection locked="0"/>
    </xf>
    <xf numFmtId="167" fontId="29" fillId="6" borderId="0" xfId="7" applyNumberFormat="1" applyFont="1" applyFill="1" applyBorder="1" applyAlignment="1" applyProtection="1">
      <alignment horizontal="center" vertical="center"/>
    </xf>
    <xf numFmtId="2" fontId="29" fillId="10" borderId="26" xfId="7" applyNumberFormat="1" applyFont="1" applyFill="1" applyBorder="1" applyAlignment="1" applyProtection="1">
      <alignment horizontal="center" vertical="center"/>
      <protection locked="0"/>
    </xf>
    <xf numFmtId="174" fontId="29" fillId="6" borderId="49" xfId="14" applyNumberFormat="1" applyFont="1" applyFill="1" applyBorder="1" applyAlignment="1" applyProtection="1">
      <alignment horizontal="center" vertical="center"/>
    </xf>
    <xf numFmtId="170" fontId="29" fillId="10" borderId="54" xfId="7" applyNumberFormat="1" applyFont="1" applyFill="1" applyBorder="1" applyAlignment="1" applyProtection="1">
      <alignment horizontal="center" vertical="center"/>
      <protection locked="0"/>
    </xf>
    <xf numFmtId="1" fontId="29" fillId="6" borderId="49" xfId="7" applyNumberFormat="1" applyFont="1" applyFill="1" applyBorder="1" applyAlignment="1" applyProtection="1">
      <alignment horizontal="center" vertical="center"/>
    </xf>
    <xf numFmtId="1" fontId="29" fillId="6" borderId="0" xfId="7" applyNumberFormat="1" applyFont="1" applyFill="1" applyBorder="1" applyAlignment="1" applyProtection="1">
      <alignment horizontal="center" vertical="center"/>
    </xf>
    <xf numFmtId="170" fontId="28" fillId="10" borderId="29" xfId="7" applyNumberFormat="1" applyFont="1" applyFill="1" applyBorder="1" applyAlignment="1" applyProtection="1">
      <alignment horizontal="center" vertical="center"/>
      <protection locked="0"/>
    </xf>
    <xf numFmtId="2" fontId="29" fillId="10" borderId="29" xfId="7" applyNumberFormat="1" applyFont="1" applyFill="1" applyBorder="1" applyAlignment="1" applyProtection="1">
      <alignment horizontal="center" vertical="center"/>
      <protection locked="0"/>
    </xf>
    <xf numFmtId="170" fontId="29" fillId="10" borderId="55" xfId="7" applyNumberFormat="1" applyFont="1" applyFill="1" applyBorder="1" applyAlignment="1" applyProtection="1">
      <alignment horizontal="center" vertical="center"/>
      <protection locked="0"/>
    </xf>
    <xf numFmtId="170" fontId="29" fillId="10" borderId="29" xfId="7" applyNumberFormat="1" applyFont="1" applyFill="1" applyBorder="1" applyAlignment="1" applyProtection="1">
      <alignment horizontal="center" vertical="center"/>
      <protection locked="0"/>
    </xf>
    <xf numFmtId="167" fontId="29" fillId="6" borderId="0" xfId="7" quotePrefix="1" applyNumberFormat="1" applyFont="1" applyFill="1" applyBorder="1" applyAlignment="1" applyProtection="1">
      <alignment horizontal="center" vertical="center"/>
    </xf>
    <xf numFmtId="1" fontId="29" fillId="10" borderId="29" xfId="7" applyNumberFormat="1" applyFont="1" applyFill="1" applyBorder="1" applyAlignment="1" applyProtection="1">
      <alignment horizontal="center" vertical="center"/>
      <protection locked="0"/>
    </xf>
    <xf numFmtId="0" fontId="29" fillId="10" borderId="3" xfId="7" applyFont="1" applyFill="1" applyBorder="1" applyAlignment="1" applyProtection="1">
      <alignment horizontal="center" vertical="center"/>
      <protection locked="0"/>
    </xf>
    <xf numFmtId="167" fontId="29" fillId="0" borderId="0" xfId="7" quotePrefix="1" applyNumberFormat="1" applyFont="1" applyBorder="1" applyAlignment="1" applyProtection="1">
      <alignment horizontal="left" vertical="center"/>
    </xf>
    <xf numFmtId="0" fontId="29" fillId="10" borderId="1" xfId="7" applyFont="1" applyFill="1" applyBorder="1" applyAlignment="1" applyProtection="1">
      <alignment horizontal="center" vertical="center"/>
      <protection locked="0"/>
    </xf>
    <xf numFmtId="0" fontId="28" fillId="6" borderId="1" xfId="1" applyNumberFormat="1" applyFont="1" applyFill="1" applyBorder="1" applyAlignment="1" applyProtection="1">
      <alignment vertical="center"/>
    </xf>
    <xf numFmtId="1" fontId="29" fillId="6" borderId="1" xfId="1" applyNumberFormat="1" applyFont="1" applyFill="1" applyBorder="1" applyAlignment="1" applyProtection="1">
      <alignment horizontal="center" vertical="center"/>
    </xf>
    <xf numFmtId="0" fontId="29" fillId="6" borderId="1" xfId="1" applyFont="1" applyFill="1" applyBorder="1" applyAlignment="1" applyProtection="1">
      <alignment horizontal="left" vertical="center"/>
    </xf>
    <xf numFmtId="2" fontId="29" fillId="6" borderId="1" xfId="1" applyNumberFormat="1" applyFont="1" applyFill="1" applyBorder="1" applyAlignment="1" applyProtection="1">
      <alignment horizontal="center" vertical="center"/>
    </xf>
    <xf numFmtId="174" fontId="28" fillId="6" borderId="51" xfId="14" applyNumberFormat="1" applyFont="1" applyFill="1" applyBorder="1" applyAlignment="1" applyProtection="1">
      <alignment horizontal="center" vertical="center"/>
    </xf>
    <xf numFmtId="1" fontId="29" fillId="6" borderId="56" xfId="1" applyNumberFormat="1" applyFont="1" applyFill="1" applyBorder="1" applyAlignment="1" applyProtection="1">
      <alignment horizontal="center" vertical="center"/>
    </xf>
    <xf numFmtId="1" fontId="28" fillId="6" borderId="51" xfId="7" applyNumberFormat="1" applyFont="1" applyFill="1" applyBorder="1" applyAlignment="1" applyProtection="1">
      <alignment horizontal="center" vertical="center"/>
    </xf>
    <xf numFmtId="1" fontId="28" fillId="6" borderId="3" xfId="7" applyNumberFormat="1" applyFont="1" applyFill="1" applyBorder="1" applyAlignment="1" applyProtection="1">
      <alignment horizontal="center" vertical="center"/>
    </xf>
    <xf numFmtId="167" fontId="36" fillId="0" borderId="0" xfId="7" quotePrefix="1" applyNumberFormat="1" applyFont="1" applyBorder="1" applyAlignment="1" applyProtection="1">
      <alignment horizontal="left" vertical="center"/>
    </xf>
    <xf numFmtId="167" fontId="29" fillId="0" borderId="0" xfId="7" applyNumberFormat="1" applyFont="1" applyBorder="1" applyAlignment="1" applyProtection="1">
      <alignment vertical="center"/>
    </xf>
    <xf numFmtId="167" fontId="29" fillId="10" borderId="0" xfId="7" applyNumberFormat="1" applyFont="1" applyFill="1" applyBorder="1" applyAlignment="1" applyProtection="1">
      <alignment vertical="center"/>
      <protection locked="0"/>
    </xf>
    <xf numFmtId="167" fontId="28" fillId="6" borderId="3" xfId="7" applyNumberFormat="1" applyFont="1" applyFill="1" applyBorder="1" applyAlignment="1" applyProtection="1">
      <alignment vertical="center"/>
    </xf>
    <xf numFmtId="1" fontId="29" fillId="6" borderId="3" xfId="7" applyNumberFormat="1" applyFont="1" applyFill="1" applyBorder="1" applyAlignment="1" applyProtection="1">
      <alignment horizontal="center" vertical="center"/>
    </xf>
    <xf numFmtId="0" fontId="29" fillId="6" borderId="3" xfId="7" applyFont="1" applyFill="1" applyBorder="1" applyAlignment="1" applyProtection="1">
      <alignment horizontal="center" vertical="center"/>
    </xf>
    <xf numFmtId="2" fontId="29" fillId="6" borderId="3" xfId="7" applyNumberFormat="1" applyFont="1" applyFill="1" applyBorder="1" applyAlignment="1" applyProtection="1">
      <alignment horizontal="center" vertical="center"/>
    </xf>
    <xf numFmtId="1" fontId="29" fillId="6" borderId="57" xfId="7" applyNumberFormat="1" applyFont="1" applyFill="1" applyBorder="1" applyAlignment="1" applyProtection="1">
      <alignment horizontal="center" vertical="center"/>
    </xf>
    <xf numFmtId="10" fontId="29" fillId="10" borderId="26" xfId="12" applyNumberFormat="1" applyFont="1" applyFill="1" applyBorder="1" applyAlignment="1" applyProtection="1">
      <alignment horizontal="center" vertical="center"/>
      <protection locked="0"/>
    </xf>
    <xf numFmtId="1" fontId="29" fillId="10" borderId="0" xfId="7" applyNumberFormat="1" applyFont="1" applyFill="1" applyBorder="1" applyAlignment="1" applyProtection="1">
      <alignment horizontal="center" vertical="center"/>
      <protection locked="0"/>
    </xf>
    <xf numFmtId="170" fontId="29" fillId="0" borderId="0" xfId="7" applyNumberFormat="1" applyFont="1" applyFill="1" applyBorder="1" applyAlignment="1" applyProtection="1">
      <alignment horizontal="center" vertical="center"/>
    </xf>
    <xf numFmtId="2" fontId="29" fillId="10" borderId="0" xfId="7" applyNumberFormat="1" applyFont="1" applyFill="1" applyBorder="1" applyAlignment="1" applyProtection="1">
      <alignment horizontal="center" vertical="center"/>
      <protection locked="0"/>
    </xf>
    <xf numFmtId="170" fontId="29" fillId="0" borderId="53" xfId="7" applyNumberFormat="1" applyFont="1" applyFill="1" applyBorder="1" applyAlignment="1" applyProtection="1">
      <alignment horizontal="center" vertical="center"/>
    </xf>
    <xf numFmtId="168" fontId="29" fillId="0" borderId="0" xfId="7" applyNumberFormat="1" applyFont="1" applyBorder="1" applyAlignment="1" applyProtection="1">
      <alignment horizontal="center" vertical="center"/>
    </xf>
    <xf numFmtId="1" fontId="29" fillId="0" borderId="0" xfId="7" applyNumberFormat="1" applyFont="1" applyFill="1" applyBorder="1" applyAlignment="1" applyProtection="1">
      <alignment horizontal="center" vertical="center"/>
    </xf>
    <xf numFmtId="1" fontId="29" fillId="0" borderId="53" xfId="7" applyNumberFormat="1" applyFont="1" applyFill="1" applyBorder="1" applyAlignment="1" applyProtection="1">
      <alignment horizontal="center" vertical="center"/>
    </xf>
    <xf numFmtId="2" fontId="29" fillId="0" borderId="0" xfId="7" applyNumberFormat="1" applyFont="1" applyBorder="1" applyAlignment="1" applyProtection="1">
      <alignment horizontal="center" vertical="center"/>
    </xf>
    <xf numFmtId="0" fontId="28" fillId="6" borderId="3" xfId="1" applyNumberFormat="1" applyFont="1" applyFill="1" applyBorder="1" applyAlignment="1" applyProtection="1">
      <alignment vertical="center"/>
    </xf>
    <xf numFmtId="165" fontId="29" fillId="6" borderId="49" xfId="7" applyNumberFormat="1" applyFont="1" applyFill="1" applyBorder="1" applyAlignment="1" applyProtection="1">
      <alignment horizontal="center" vertical="center"/>
    </xf>
    <xf numFmtId="165" fontId="29" fillId="6" borderId="0" xfId="7" applyNumberFormat="1" applyFont="1" applyFill="1" applyBorder="1" applyAlignment="1" applyProtection="1">
      <alignment horizontal="center" vertical="center"/>
    </xf>
    <xf numFmtId="174" fontId="29" fillId="6" borderId="51" xfId="14" applyNumberFormat="1" applyFont="1" applyFill="1" applyBorder="1" applyAlignment="1" applyProtection="1">
      <alignment horizontal="center" vertical="center"/>
    </xf>
    <xf numFmtId="165" fontId="29" fillId="6" borderId="51" xfId="7" applyNumberFormat="1" applyFont="1" applyFill="1" applyBorder="1" applyAlignment="1" applyProtection="1">
      <alignment horizontal="center" vertical="center"/>
    </xf>
    <xf numFmtId="165" fontId="29" fillId="6" borderId="3" xfId="7" applyNumberFormat="1" applyFont="1" applyFill="1" applyBorder="1" applyAlignment="1" applyProtection="1">
      <alignment horizontal="center" vertical="center"/>
    </xf>
    <xf numFmtId="167" fontId="27" fillId="0" borderId="0" xfId="7" applyNumberFormat="1" applyFont="1" applyBorder="1" applyAlignment="1" applyProtection="1">
      <alignment vertical="center"/>
    </xf>
    <xf numFmtId="0" fontId="27" fillId="0" borderId="0" xfId="7" applyFont="1" applyBorder="1" applyAlignment="1" applyProtection="1">
      <alignment horizontal="center" vertical="center"/>
    </xf>
    <xf numFmtId="0" fontId="27" fillId="0" borderId="53" xfId="7" applyFont="1" applyFill="1" applyBorder="1" applyAlignment="1" applyProtection="1">
      <alignment horizontal="center" vertical="center"/>
    </xf>
    <xf numFmtId="3" fontId="29" fillId="0" borderId="0" xfId="6" applyNumberFormat="1" applyFont="1" applyFill="1" applyBorder="1" applyAlignment="1" applyProtection="1">
      <alignment horizontal="center" vertical="center"/>
    </xf>
    <xf numFmtId="0" fontId="29" fillId="0" borderId="53" xfId="6" applyFont="1" applyFill="1" applyBorder="1" applyAlignment="1" applyProtection="1">
      <alignment horizontal="center" vertical="center"/>
    </xf>
    <xf numFmtId="3" fontId="29" fillId="6" borderId="49" xfId="7" applyNumberFormat="1" applyFont="1" applyFill="1" applyBorder="1" applyAlignment="1" applyProtection="1">
      <alignment horizontal="center" vertical="center"/>
    </xf>
    <xf numFmtId="2" fontId="29" fillId="6" borderId="2" xfId="7" applyNumberFormat="1" applyFont="1" applyFill="1" applyBorder="1" applyAlignment="1" applyProtection="1">
      <alignment horizontal="center" vertical="center"/>
    </xf>
    <xf numFmtId="174" fontId="28" fillId="6" borderId="52" xfId="14" applyNumberFormat="1" applyFont="1" applyFill="1" applyBorder="1" applyAlignment="1" applyProtection="1">
      <alignment horizontal="center" vertical="center"/>
    </xf>
    <xf numFmtId="1" fontId="29" fillId="6" borderId="58" xfId="7" applyNumberFormat="1" applyFont="1" applyFill="1" applyBorder="1" applyAlignment="1" applyProtection="1">
      <alignment horizontal="center" vertical="center"/>
    </xf>
    <xf numFmtId="1" fontId="28" fillId="6" borderId="52" xfId="7" applyNumberFormat="1" applyFont="1" applyFill="1" applyBorder="1" applyAlignment="1" applyProtection="1">
      <alignment horizontal="center" vertical="center"/>
    </xf>
    <xf numFmtId="1" fontId="28" fillId="6" borderId="2" xfId="7" applyNumberFormat="1" applyFont="1" applyFill="1" applyBorder="1" applyAlignment="1" applyProtection="1">
      <alignment horizontal="center" vertical="center"/>
    </xf>
    <xf numFmtId="167" fontId="29" fillId="6" borderId="1" xfId="7" applyNumberFormat="1" applyFont="1" applyFill="1" applyBorder="1" applyAlignment="1" applyProtection="1">
      <alignment vertical="top" wrapText="1"/>
    </xf>
    <xf numFmtId="1" fontId="29" fillId="6" borderId="1" xfId="7" applyNumberFormat="1" applyFont="1" applyFill="1" applyBorder="1" applyAlignment="1" applyProtection="1">
      <alignment horizontal="center" vertical="center"/>
    </xf>
    <xf numFmtId="2" fontId="29" fillId="6" borderId="1" xfId="7" applyNumberFormat="1" applyFont="1" applyFill="1" applyBorder="1" applyAlignment="1" applyProtection="1">
      <alignment horizontal="center" vertical="center"/>
    </xf>
    <xf numFmtId="174" fontId="28" fillId="6" borderId="50" xfId="14" applyNumberFormat="1" applyFont="1" applyFill="1" applyBorder="1" applyAlignment="1" applyProtection="1">
      <alignment horizontal="center" vertical="center"/>
    </xf>
    <xf numFmtId="1" fontId="29" fillId="6" borderId="56" xfId="7" applyNumberFormat="1" applyFont="1" applyFill="1" applyBorder="1" applyAlignment="1" applyProtection="1">
      <alignment horizontal="center" vertical="center"/>
    </xf>
    <xf numFmtId="1" fontId="28" fillId="6" borderId="50" xfId="7" applyNumberFormat="1" applyFont="1" applyFill="1" applyBorder="1" applyAlignment="1" applyProtection="1">
      <alignment horizontal="center" vertical="center"/>
    </xf>
    <xf numFmtId="1" fontId="28" fillId="6" borderId="1" xfId="7" applyNumberFormat="1" applyFont="1" applyFill="1" applyBorder="1" applyAlignment="1" applyProtection="1">
      <alignment horizontal="center" vertical="center"/>
    </xf>
    <xf numFmtId="169" fontId="29" fillId="10" borderId="29" xfId="12" applyNumberFormat="1" applyFont="1" applyFill="1" applyBorder="1" applyAlignment="1" applyProtection="1">
      <alignment horizontal="center" vertical="center"/>
      <protection locked="0"/>
    </xf>
    <xf numFmtId="171" fontId="29" fillId="0" borderId="0" xfId="7" quotePrefix="1" applyNumberFormat="1" applyFont="1" applyBorder="1" applyAlignment="1" applyProtection="1">
      <alignment horizontal="center" vertical="center"/>
    </xf>
    <xf numFmtId="1" fontId="29" fillId="0" borderId="0" xfId="7" applyNumberFormat="1" applyFont="1" applyBorder="1" applyAlignment="1" applyProtection="1">
      <alignment horizontal="center" vertical="center"/>
    </xf>
    <xf numFmtId="169" fontId="29" fillId="10" borderId="55" xfId="12" applyNumberFormat="1" applyFont="1" applyFill="1" applyBorder="1" applyAlignment="1" applyProtection="1">
      <alignment horizontal="center" vertical="center"/>
      <protection locked="0"/>
    </xf>
    <xf numFmtId="171" fontId="29" fillId="0" borderId="0" xfId="7" applyNumberFormat="1" applyFont="1" applyBorder="1" applyAlignment="1" applyProtection="1">
      <alignment horizontal="center" vertical="center"/>
    </xf>
    <xf numFmtId="10" fontId="29" fillId="0" borderId="0" xfId="7" applyNumberFormat="1" applyFont="1" applyFill="1" applyBorder="1" applyAlignment="1" applyProtection="1">
      <alignment horizontal="center" vertical="center"/>
    </xf>
    <xf numFmtId="174" fontId="29" fillId="10" borderId="49" xfId="14" applyNumberFormat="1" applyFont="1" applyFill="1" applyBorder="1" applyAlignment="1" applyProtection="1">
      <alignment horizontal="center" vertical="center"/>
      <protection locked="0"/>
    </xf>
    <xf numFmtId="10" fontId="29" fillId="0" borderId="53" xfId="7" applyNumberFormat="1" applyFont="1" applyFill="1" applyBorder="1" applyAlignment="1" applyProtection="1">
      <alignment horizontal="center" vertical="center"/>
    </xf>
    <xf numFmtId="38" fontId="29" fillId="0" borderId="0" xfId="7" applyNumberFormat="1" applyFont="1" applyBorder="1" applyAlignment="1" applyProtection="1">
      <alignment horizontal="center" vertical="center"/>
    </xf>
    <xf numFmtId="3" fontId="29" fillId="10" borderId="49" xfId="7" applyNumberFormat="1" applyFont="1" applyFill="1" applyBorder="1" applyAlignment="1" applyProtection="1">
      <alignment horizontal="center" vertical="center"/>
      <protection locked="0"/>
    </xf>
    <xf numFmtId="3" fontId="29" fillId="10" borderId="0" xfId="7" applyNumberFormat="1" applyFont="1" applyFill="1" applyBorder="1" applyAlignment="1" applyProtection="1">
      <alignment horizontal="center" vertical="center"/>
      <protection locked="0"/>
    </xf>
    <xf numFmtId="1" fontId="37" fillId="6" borderId="49" xfId="7" applyNumberFormat="1" applyFont="1" applyFill="1" applyBorder="1" applyAlignment="1" applyProtection="1">
      <alignment horizontal="center" vertical="center"/>
    </xf>
    <xf numFmtId="1" fontId="37" fillId="6" borderId="0" xfId="7" applyNumberFormat="1" applyFont="1" applyFill="1" applyBorder="1" applyAlignment="1" applyProtection="1">
      <alignment horizontal="center" vertical="center"/>
    </xf>
    <xf numFmtId="167" fontId="28" fillId="4" borderId="0" xfId="7" applyNumberFormat="1" applyFont="1" applyFill="1" applyBorder="1" applyAlignment="1" applyProtection="1">
      <alignment vertical="center"/>
    </xf>
    <xf numFmtId="0" fontId="29" fillId="4" borderId="0" xfId="7" applyFont="1" applyFill="1" applyBorder="1" applyAlignment="1" applyProtection="1">
      <alignment horizontal="center" vertical="center"/>
    </xf>
    <xf numFmtId="0" fontId="29" fillId="4" borderId="53" xfId="7" applyFont="1" applyFill="1" applyBorder="1" applyAlignment="1" applyProtection="1">
      <alignment horizontal="center" vertical="center"/>
    </xf>
    <xf numFmtId="1" fontId="29" fillId="10" borderId="49" xfId="7" applyNumberFormat="1" applyFont="1" applyFill="1" applyBorder="1" applyAlignment="1" applyProtection="1">
      <alignment horizontal="center" vertical="center"/>
      <protection locked="0"/>
    </xf>
    <xf numFmtId="167" fontId="29" fillId="0" borderId="0" xfId="7" applyNumberFormat="1" applyFont="1" applyBorder="1" applyAlignment="1" applyProtection="1">
      <alignment horizontal="left" vertical="center"/>
    </xf>
    <xf numFmtId="1" fontId="34" fillId="0" borderId="0" xfId="7" applyNumberFormat="1" applyFont="1" applyFill="1" applyBorder="1" applyAlignment="1" applyProtection="1">
      <alignment horizontal="center" vertical="center"/>
    </xf>
    <xf numFmtId="166" fontId="34" fillId="0" borderId="0" xfId="7" applyNumberFormat="1" applyFont="1" applyFill="1" applyBorder="1" applyAlignment="1" applyProtection="1">
      <alignment horizontal="center" vertical="center"/>
    </xf>
    <xf numFmtId="9" fontId="34" fillId="0" borderId="0" xfId="7" applyNumberFormat="1" applyFont="1" applyFill="1" applyBorder="1" applyAlignment="1" applyProtection="1">
      <alignment horizontal="center" vertical="center"/>
    </xf>
    <xf numFmtId="38" fontId="27" fillId="0" borderId="49" xfId="7" applyNumberFormat="1" applyFont="1" applyFill="1" applyBorder="1" applyAlignment="1" applyProtection="1">
      <alignment horizontal="center" vertical="center"/>
    </xf>
    <xf numFmtId="1" fontId="34" fillId="0" borderId="53" xfId="7" applyNumberFormat="1" applyFont="1" applyFill="1" applyBorder="1" applyAlignment="1" applyProtection="1">
      <alignment horizontal="center" vertical="center"/>
    </xf>
    <xf numFmtId="38" fontId="27" fillId="0" borderId="0" xfId="7" applyNumberFormat="1" applyFont="1" applyFill="1" applyBorder="1" applyAlignment="1" applyProtection="1">
      <alignment horizontal="center" vertical="center"/>
    </xf>
    <xf numFmtId="167" fontId="29" fillId="7" borderId="0" xfId="7" applyNumberFormat="1" applyFont="1" applyFill="1" applyBorder="1" applyAlignment="1" applyProtection="1">
      <alignment vertical="center"/>
    </xf>
    <xf numFmtId="167" fontId="38" fillId="7" borderId="27" xfId="7" applyNumberFormat="1" applyFont="1" applyFill="1" applyBorder="1" applyAlignment="1" applyProtection="1">
      <alignment vertical="center"/>
    </xf>
    <xf numFmtId="174" fontId="38" fillId="7" borderId="25" xfId="14" applyNumberFormat="1" applyFont="1" applyFill="1" applyBorder="1" applyAlignment="1" applyProtection="1">
      <alignment horizontal="center" vertical="center"/>
    </xf>
    <xf numFmtId="3" fontId="38" fillId="7" borderId="25" xfId="7" applyNumberFormat="1" applyFont="1" applyFill="1" applyBorder="1" applyAlignment="1" applyProtection="1">
      <alignment horizontal="center" vertical="center"/>
    </xf>
    <xf numFmtId="3" fontId="38" fillId="7" borderId="29" xfId="7" applyNumberFormat="1" applyFont="1" applyFill="1" applyBorder="1" applyAlignment="1" applyProtection="1">
      <alignment horizontal="center" vertical="center"/>
    </xf>
    <xf numFmtId="167" fontId="38" fillId="7" borderId="3" xfId="7" applyNumberFormat="1" applyFont="1" applyFill="1" applyBorder="1" applyAlignment="1" applyProtection="1">
      <alignment vertical="center"/>
    </xf>
    <xf numFmtId="1" fontId="38" fillId="7" borderId="3" xfId="7" applyNumberFormat="1" applyFont="1" applyFill="1" applyBorder="1" applyAlignment="1" applyProtection="1">
      <alignment horizontal="center" vertical="center"/>
    </xf>
    <xf numFmtId="0" fontId="38" fillId="7" borderId="3" xfId="7" applyFont="1" applyFill="1" applyBorder="1" applyAlignment="1" applyProtection="1">
      <alignment horizontal="center" vertical="center"/>
    </xf>
    <xf numFmtId="2" fontId="38" fillId="7" borderId="3" xfId="7" applyNumberFormat="1" applyFont="1" applyFill="1" applyBorder="1" applyAlignment="1" applyProtection="1">
      <alignment horizontal="center" vertical="center"/>
    </xf>
    <xf numFmtId="1" fontId="38" fillId="7" borderId="57" xfId="7" applyNumberFormat="1" applyFont="1" applyFill="1" applyBorder="1" applyAlignment="1" applyProtection="1">
      <alignment horizontal="center" vertical="center"/>
    </xf>
    <xf numFmtId="1" fontId="38" fillId="7" borderId="25" xfId="7" applyNumberFormat="1" applyFont="1" applyFill="1" applyBorder="1" applyAlignment="1" applyProtection="1">
      <alignment horizontal="center" vertical="center"/>
    </xf>
    <xf numFmtId="167" fontId="29" fillId="6" borderId="0" xfId="7" applyNumberFormat="1" applyFont="1" applyFill="1" applyBorder="1" applyAlignment="1" applyProtection="1">
      <alignment vertical="center"/>
      <protection locked="0"/>
    </xf>
    <xf numFmtId="0" fontId="0" fillId="14" borderId="0" xfId="0" quotePrefix="1" applyFill="1" applyAlignment="1">
      <alignment horizontal="left" wrapText="1"/>
    </xf>
    <xf numFmtId="0" fontId="14" fillId="13" borderId="0" xfId="0" applyFont="1" applyFill="1" applyAlignment="1">
      <alignment horizontal="center"/>
    </xf>
    <xf numFmtId="0" fontId="0" fillId="14" borderId="0" xfId="0" applyFill="1" applyAlignment="1">
      <alignment horizontal="left" vertical="top" wrapText="1"/>
    </xf>
    <xf numFmtId="0" fontId="0" fillId="14" borderId="0" xfId="0" applyFill="1" applyAlignment="1">
      <alignment horizontal="left" wrapText="1"/>
    </xf>
    <xf numFmtId="0" fontId="18" fillId="0" borderId="0" xfId="0" applyFont="1" applyFill="1" applyAlignment="1">
      <alignment horizontal="left" vertical="top"/>
    </xf>
    <xf numFmtId="0" fontId="19" fillId="0" borderId="0" xfId="0" applyFont="1" applyAlignment="1">
      <alignment horizontal="left" wrapText="1"/>
    </xf>
    <xf numFmtId="0" fontId="0" fillId="15" borderId="0" xfId="0" quotePrefix="1" applyFill="1" applyAlignment="1">
      <alignment horizontal="left" vertical="top" wrapText="1"/>
    </xf>
    <xf numFmtId="0" fontId="0" fillId="15" borderId="0" xfId="0" applyFill="1" applyAlignment="1">
      <alignment horizontal="left" vertical="top" wrapText="1"/>
    </xf>
    <xf numFmtId="0" fontId="0" fillId="15" borderId="0" xfId="0" quotePrefix="1" applyFill="1" applyAlignment="1">
      <alignment horizontal="left" wrapText="1"/>
    </xf>
    <xf numFmtId="0" fontId="18" fillId="16" borderId="0" xfId="0" applyFont="1" applyFill="1" applyAlignment="1">
      <alignment horizontal="left" vertical="top"/>
    </xf>
    <xf numFmtId="0" fontId="0" fillId="16" borderId="0" xfId="0" applyFill="1" applyAlignment="1">
      <alignment horizontal="left" wrapText="1"/>
    </xf>
    <xf numFmtId="0" fontId="18" fillId="9" borderId="0" xfId="0" applyFont="1" applyFill="1" applyAlignment="1">
      <alignment horizontal="left" vertical="top"/>
    </xf>
    <xf numFmtId="0" fontId="0" fillId="9" borderId="0" xfId="0" applyFill="1" applyAlignment="1">
      <alignment horizontal="left" wrapText="1"/>
    </xf>
    <xf numFmtId="0" fontId="29" fillId="11" borderId="29" xfId="6" applyFont="1" applyFill="1" applyBorder="1" applyAlignment="1" applyProtection="1">
      <alignment horizontal="center" vertical="center"/>
      <protection locked="0"/>
    </xf>
    <xf numFmtId="0" fontId="29" fillId="11" borderId="30" xfId="6" applyFont="1" applyFill="1" applyBorder="1" applyAlignment="1" applyProtection="1">
      <alignment horizontal="center" vertical="center"/>
      <protection locked="0"/>
    </xf>
    <xf numFmtId="0" fontId="29" fillId="11" borderId="29" xfId="6" applyFont="1" applyFill="1" applyBorder="1" applyAlignment="1" applyProtection="1">
      <alignment horizontal="left" vertical="center"/>
      <protection locked="0"/>
    </xf>
    <xf numFmtId="0" fontId="21" fillId="6" borderId="0" xfId="7" applyFont="1" applyFill="1" applyBorder="1" applyAlignment="1" applyProtection="1">
      <alignment horizontal="center" vertical="center" wrapText="1"/>
    </xf>
    <xf numFmtId="0" fontId="29" fillId="11" borderId="30" xfId="6" applyFont="1" applyFill="1" applyBorder="1" applyAlignment="1" applyProtection="1">
      <alignment horizontal="left" vertical="center"/>
      <protection locked="0"/>
    </xf>
    <xf numFmtId="0" fontId="29" fillId="10" borderId="29" xfId="6" applyFont="1" applyFill="1" applyBorder="1" applyAlignment="1" applyProtection="1">
      <alignment horizontal="left" vertical="center"/>
      <protection locked="0"/>
    </xf>
    <xf numFmtId="0" fontId="38" fillId="7" borderId="26" xfId="7" applyFont="1" applyFill="1" applyBorder="1" applyAlignment="1" applyProtection="1">
      <alignment horizontal="center" vertical="center"/>
    </xf>
    <xf numFmtId="3" fontId="29" fillId="7" borderId="0" xfId="6" applyNumberFormat="1" applyFont="1" applyFill="1" applyBorder="1" applyAlignment="1" applyProtection="1">
      <alignment horizontal="left" vertical="top" wrapText="1"/>
    </xf>
    <xf numFmtId="3" fontId="29" fillId="7" borderId="0" xfId="6" applyNumberFormat="1" applyFont="1" applyFill="1" applyBorder="1" applyAlignment="1" applyProtection="1">
      <alignment horizontal="left" vertical="top"/>
    </xf>
    <xf numFmtId="3" fontId="29" fillId="7" borderId="49" xfId="6" applyNumberFormat="1" applyFont="1" applyFill="1" applyBorder="1" applyAlignment="1" applyProtection="1">
      <alignment horizontal="left" vertical="top"/>
    </xf>
    <xf numFmtId="3" fontId="29" fillId="7" borderId="53" xfId="6" applyNumberFormat="1" applyFont="1" applyFill="1" applyBorder="1" applyAlignment="1" applyProtection="1">
      <alignment horizontal="left" vertical="top" wrapText="1"/>
    </xf>
    <xf numFmtId="3" fontId="29" fillId="7" borderId="53" xfId="6" applyNumberFormat="1" applyFont="1" applyFill="1" applyBorder="1" applyAlignment="1" applyProtection="1">
      <alignment horizontal="left" vertical="top"/>
    </xf>
    <xf numFmtId="0" fontId="22" fillId="6" borderId="0" xfId="7" applyFont="1" applyFill="1" applyBorder="1" applyAlignment="1" applyProtection="1">
      <alignment horizontal="center" vertical="center" wrapText="1"/>
    </xf>
    <xf numFmtId="0" fontId="22" fillId="6" borderId="49" xfId="7" applyFont="1" applyFill="1" applyBorder="1" applyAlignment="1" applyProtection="1">
      <alignment horizontal="center" vertical="center" wrapText="1"/>
    </xf>
    <xf numFmtId="3" fontId="38" fillId="7" borderId="26" xfId="7" applyNumberFormat="1" applyFont="1" applyFill="1" applyBorder="1" applyAlignment="1" applyProtection="1">
      <alignment horizontal="center" vertical="center"/>
    </xf>
    <xf numFmtId="3" fontId="38" fillId="7" borderId="54" xfId="7" applyNumberFormat="1" applyFont="1" applyFill="1" applyBorder="1" applyAlignment="1" applyProtection="1">
      <alignment horizontal="center" vertical="center"/>
    </xf>
    <xf numFmtId="0" fontId="22" fillId="6" borderId="53" xfId="7" applyFont="1" applyFill="1" applyBorder="1" applyAlignment="1" applyProtection="1">
      <alignment horizontal="center" vertical="center" wrapText="1"/>
    </xf>
    <xf numFmtId="3" fontId="38" fillId="7" borderId="29" xfId="7" applyNumberFormat="1" applyFont="1" applyFill="1" applyBorder="1" applyAlignment="1" applyProtection="1">
      <alignment horizontal="center" vertical="center"/>
    </xf>
    <xf numFmtId="3" fontId="38" fillId="7" borderId="55" xfId="7" applyNumberFormat="1" applyFont="1" applyFill="1" applyBorder="1" applyAlignment="1" applyProtection="1">
      <alignment horizontal="center" vertical="center"/>
    </xf>
    <xf numFmtId="0" fontId="29" fillId="10" borderId="6" xfId="11" applyNumberFormat="1" applyFont="1" applyFill="1" applyBorder="1" applyAlignment="1" applyProtection="1">
      <alignment horizontal="center"/>
      <protection locked="0"/>
    </xf>
    <xf numFmtId="2" fontId="29" fillId="10" borderId="8" xfId="11" applyNumberFormat="1" applyFont="1" applyFill="1" applyBorder="1" applyAlignment="1" applyProtection="1">
      <alignment horizontal="center"/>
      <protection locked="0"/>
    </xf>
    <xf numFmtId="4" fontId="34" fillId="10" borderId="7" xfId="11" applyNumberFormat="1" applyFont="1" applyFill="1" applyBorder="1" applyAlignment="1" applyProtection="1">
      <alignment horizontal="right"/>
    </xf>
    <xf numFmtId="3" fontId="34" fillId="10" borderId="7" xfId="11" applyNumberFormat="1" applyFont="1" applyFill="1" applyBorder="1" applyAlignment="1" applyProtection="1">
      <alignment horizontal="center"/>
    </xf>
    <xf numFmtId="3" fontId="34" fillId="10" borderId="12" xfId="11" applyNumberFormat="1" applyFont="1" applyFill="1" applyBorder="1" applyAlignment="1" applyProtection="1">
      <alignment horizontal="center"/>
    </xf>
    <xf numFmtId="0" fontId="39" fillId="9" borderId="10" xfId="11" quotePrefix="1" applyNumberFormat="1" applyFont="1" applyFill="1" applyBorder="1" applyAlignment="1" applyProtection="1">
      <alignment horizontal="center"/>
    </xf>
    <xf numFmtId="0" fontId="39" fillId="10" borderId="6" xfId="11" applyFont="1" applyFill="1" applyBorder="1" applyAlignment="1" applyProtection="1">
      <alignment horizontal="left"/>
    </xf>
    <xf numFmtId="0" fontId="40" fillId="10" borderId="19" xfId="11" applyNumberFormat="1" applyFont="1" applyFill="1" applyBorder="1" applyAlignment="1" applyProtection="1">
      <alignment horizontal="center"/>
    </xf>
    <xf numFmtId="172" fontId="33" fillId="5" borderId="0" xfId="11" applyNumberFormat="1" applyFont="1" applyFill="1" applyBorder="1" applyAlignment="1" applyProtection="1">
      <alignment horizontal="center"/>
    </xf>
    <xf numFmtId="0" fontId="33" fillId="5" borderId="10" xfId="11" applyNumberFormat="1" applyFont="1" applyFill="1" applyBorder="1" applyAlignment="1" applyProtection="1">
      <alignment horizontal="center"/>
    </xf>
    <xf numFmtId="0" fontId="23" fillId="0" borderId="0" xfId="11" quotePrefix="1" applyFont="1" applyFill="1" applyAlignment="1" applyProtection="1">
      <alignment horizontal="center"/>
    </xf>
    <xf numFmtId="0" fontId="23" fillId="0" borderId="0" xfId="11" applyFont="1" applyFill="1" applyBorder="1" applyAlignment="1" applyProtection="1">
      <alignment horizontal="left"/>
    </xf>
    <xf numFmtId="0" fontId="41" fillId="0" borderId="0" xfId="11" applyFont="1" applyFill="1" applyBorder="1" applyAlignment="1" applyProtection="1">
      <alignment horizontal="left"/>
    </xf>
    <xf numFmtId="0" fontId="39" fillId="0" borderId="0" xfId="11" applyFont="1" applyFill="1" applyBorder="1" applyAlignment="1" applyProtection="1">
      <alignment horizontal="left"/>
    </xf>
    <xf numFmtId="0" fontId="39" fillId="10" borderId="19" xfId="11" applyFont="1" applyFill="1" applyBorder="1" applyAlignment="1" applyProtection="1">
      <alignment horizontal="left"/>
    </xf>
    <xf numFmtId="0" fontId="40" fillId="10" borderId="6" xfId="11" applyNumberFormat="1" applyFont="1" applyFill="1" applyBorder="1" applyAlignment="1" applyProtection="1">
      <alignment horizontal="center"/>
    </xf>
    <xf numFmtId="0" fontId="40" fillId="10" borderId="45" xfId="11" applyNumberFormat="1" applyFont="1" applyFill="1" applyBorder="1" applyAlignment="1" applyProtection="1">
      <alignment horizontal="center"/>
    </xf>
    <xf numFmtId="0" fontId="23" fillId="0" borderId="0" xfId="11" quotePrefix="1" applyFont="1" applyFill="1" applyBorder="1" applyAlignment="1" applyProtection="1">
      <alignment horizontal="left"/>
    </xf>
  </cellXfs>
  <cellStyles count="15">
    <cellStyle name="dbkatalog" xfId="2"/>
    <cellStyle name="DB-Katalog" xfId="3"/>
    <cellStyle name="Komma" xfId="14" builtinId="3"/>
    <cellStyle name="Link" xfId="13" builtinId="8"/>
    <cellStyle name="Milliers 2" xfId="4"/>
    <cellStyle name="Milliers 3" xfId="10"/>
    <cellStyle name="Normal 2" xfId="1"/>
    <cellStyle name="Normal 3" xfId="9"/>
    <cellStyle name="Normal 4" xfId="11"/>
    <cellStyle name="Pourcentage 2" xfId="5"/>
    <cellStyle name="Prozent" xfId="12" builtinId="5"/>
    <cellStyle name="Standard" xfId="0" builtinId="0"/>
    <cellStyle name="Standard_Gemüse-97" xfId="6"/>
    <cellStyle name="Standard_WW GH_1" xfId="7"/>
    <cellStyle name="test" xfId="8"/>
  </cellStyles>
  <dxfs count="0"/>
  <tableStyles count="0" defaultTableStyle="TableStyleMedium2" defaultPivotStyle="PivotStyleLight16"/>
  <colors>
    <mruColors>
      <color rgb="FF99CCFF"/>
      <color rgb="FFFFFFCC"/>
      <color rgb="FFE7E6E6"/>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jpeg"/></Relationships>
</file>

<file path=xl/drawings/_rels/vmlDrawing2.v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4.jpeg"/></Relationships>
</file>

<file path=xl/drawings/_rels/vmlDrawing4.v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1119024</xdr:colOff>
      <xdr:row>4</xdr:row>
      <xdr:rowOff>180975</xdr:rowOff>
    </xdr:to>
    <xdr:pic>
      <xdr:nvPicPr>
        <xdr:cNvPr id="3" name="Imag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3747924" cy="942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1333500</xdr:colOff>
      <xdr:row>0</xdr:row>
      <xdr:rowOff>66675</xdr:rowOff>
    </xdr:from>
    <xdr:to>
      <xdr:col>1</xdr:col>
      <xdr:colOff>3160061</xdr:colOff>
      <xdr:row>4</xdr:row>
      <xdr:rowOff>80652</xdr:rowOff>
    </xdr:to>
    <xdr:pic>
      <xdr:nvPicPr>
        <xdr:cNvPr id="4" name="Image 2" descr="http://www.fibl.org/fileadmin/images/allgemein/logos/fibl/FiBL.JPG"/>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962400" y="66675"/>
          <a:ext cx="1826561" cy="77597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R:\EXCEL-Entw\Deckungsbeitr&#228;ge\DB%25202007\DB-07-Entwicklung\Getreide07\Getrei07-h.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halt"/>
      <sheetName val="Einleitung"/>
      <sheetName val="Leistungen"/>
      <sheetName val="Kosten"/>
      <sheetName val="Anbauverfahren"/>
      <sheetName val="WW GH"/>
      <sheetName val="WW EH"/>
      <sheetName val="SW GH"/>
      <sheetName val="Dinkel GH"/>
      <sheetName val="Dinkel EH"/>
      <sheetName val="Roggen GH"/>
      <sheetName val="Roggen EH"/>
      <sheetName val="Emmer"/>
      <sheetName val="Hafer  EH"/>
      <sheetName val="Triticale GH"/>
      <sheetName val="WG GH"/>
      <sheetName val="Hafer GH "/>
      <sheetName val="VZ"/>
      <sheetName val="Hilfsdaten"/>
      <sheetName val="Allg. Bemerk."/>
      <sheetName val="modDBKAT0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printerSettings" Target="../printerSettings/printerSettings4.bin"/><Relationship Id="rId1" Type="http://schemas.openxmlformats.org/officeDocument/2006/relationships/hyperlink" Target="http://www.coutsmachines.ch/" TargetMode="External"/><Relationship Id="rId5" Type="http://schemas.openxmlformats.org/officeDocument/2006/relationships/comments" Target="../comments1.xml"/><Relationship Id="rId4" Type="http://schemas.openxmlformats.org/officeDocument/2006/relationships/vmlDrawing" Target="../drawings/vmlDrawing4.v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7:B39"/>
  <sheetViews>
    <sheetView showGridLines="0" zoomScaleNormal="100" zoomScaleSheetLayoutView="100" workbookViewId="0">
      <selection activeCell="C1" sqref="C1"/>
    </sheetView>
  </sheetViews>
  <sheetFormatPr baseColWidth="10" defaultRowHeight="15" x14ac:dyDescent="0.25"/>
  <cols>
    <col min="1" max="1" width="39.42578125" customWidth="1"/>
    <col min="2" max="2" width="47.42578125" customWidth="1"/>
  </cols>
  <sheetData>
    <row r="7" spans="1:2" ht="23.25" x14ac:dyDescent="0.35">
      <c r="A7" s="381" t="s">
        <v>251</v>
      </c>
      <c r="B7" s="381"/>
    </row>
    <row r="8" spans="1:2" ht="15.75" x14ac:dyDescent="0.25">
      <c r="A8" s="11" t="s">
        <v>240</v>
      </c>
      <c r="B8" s="12"/>
    </row>
    <row r="9" spans="1:2" ht="75" customHeight="1" x14ac:dyDescent="0.25">
      <c r="A9" s="382" t="s">
        <v>252</v>
      </c>
      <c r="B9" s="382"/>
    </row>
    <row r="10" spans="1:2" ht="45" customHeight="1" x14ac:dyDescent="0.25">
      <c r="A10" s="383" t="s">
        <v>241</v>
      </c>
      <c r="B10" s="383"/>
    </row>
    <row r="11" spans="1:2" ht="90" customHeight="1" x14ac:dyDescent="0.25">
      <c r="A11" s="382" t="s">
        <v>242</v>
      </c>
      <c r="B11" s="382"/>
    </row>
    <row r="12" spans="1:2" s="10" customFormat="1" ht="7.5" customHeight="1" x14ac:dyDescent="0.25">
      <c r="A12" s="13"/>
      <c r="B12" s="13"/>
    </row>
    <row r="13" spans="1:2" ht="15.75" x14ac:dyDescent="0.25">
      <c r="A13" s="14" t="s">
        <v>243</v>
      </c>
      <c r="B13" s="12"/>
    </row>
    <row r="14" spans="1:2" ht="30" customHeight="1" x14ac:dyDescent="0.25">
      <c r="A14" s="382" t="s">
        <v>244</v>
      </c>
      <c r="B14" s="382"/>
    </row>
    <row r="15" spans="1:2" x14ac:dyDescent="0.25">
      <c r="A15" s="15" t="s">
        <v>245</v>
      </c>
      <c r="B15" s="12"/>
    </row>
    <row r="16" spans="1:2" x14ac:dyDescent="0.25">
      <c r="A16" s="15" t="s">
        <v>246</v>
      </c>
      <c r="B16" s="12"/>
    </row>
    <row r="17" spans="1:2" x14ac:dyDescent="0.25">
      <c r="A17" s="15" t="s">
        <v>247</v>
      </c>
      <c r="B17" s="12"/>
    </row>
    <row r="18" spans="1:2" x14ac:dyDescent="0.25">
      <c r="A18" s="16" t="s">
        <v>254</v>
      </c>
      <c r="B18" s="12"/>
    </row>
    <row r="19" spans="1:2" x14ac:dyDescent="0.25">
      <c r="A19" s="17" t="s">
        <v>255</v>
      </c>
      <c r="B19" s="12"/>
    </row>
    <row r="20" spans="1:2" x14ac:dyDescent="0.25">
      <c r="A20" s="15" t="s">
        <v>253</v>
      </c>
      <c r="B20" s="12"/>
    </row>
    <row r="21" spans="1:2" x14ac:dyDescent="0.25">
      <c r="A21" s="15" t="s">
        <v>248</v>
      </c>
      <c r="B21" s="12"/>
    </row>
    <row r="22" spans="1:2" x14ac:dyDescent="0.25">
      <c r="A22" s="15" t="s">
        <v>249</v>
      </c>
      <c r="B22" s="12"/>
    </row>
    <row r="23" spans="1:2" ht="7.5" customHeight="1" x14ac:dyDescent="0.25">
      <c r="A23" s="12"/>
      <c r="B23" s="12"/>
    </row>
    <row r="24" spans="1:2" ht="45" customHeight="1" x14ac:dyDescent="0.25">
      <c r="A24" s="380" t="s">
        <v>250</v>
      </c>
      <c r="B24" s="380"/>
    </row>
    <row r="25" spans="1:2" ht="7.5" customHeight="1" x14ac:dyDescent="0.25">
      <c r="A25" s="18"/>
      <c r="B25" s="18"/>
    </row>
    <row r="26" spans="1:2" ht="15.75" x14ac:dyDescent="0.25">
      <c r="A26" s="19" t="s">
        <v>256</v>
      </c>
      <c r="B26" s="18"/>
    </row>
    <row r="27" spans="1:2" ht="90" customHeight="1" x14ac:dyDescent="0.25">
      <c r="A27" s="386" t="s">
        <v>257</v>
      </c>
      <c r="B27" s="387"/>
    </row>
    <row r="28" spans="1:2" ht="45" customHeight="1" x14ac:dyDescent="0.25">
      <c r="A28" s="388" t="s">
        <v>258</v>
      </c>
      <c r="B28" s="388"/>
    </row>
    <row r="29" spans="1:2" ht="7.5" customHeight="1" x14ac:dyDescent="0.25">
      <c r="A29" s="21"/>
      <c r="B29" s="21"/>
    </row>
    <row r="30" spans="1:2" ht="15.75" x14ac:dyDescent="0.25">
      <c r="A30" s="389" t="s">
        <v>259</v>
      </c>
      <c r="B30" s="389"/>
    </row>
    <row r="31" spans="1:2" ht="30" customHeight="1" x14ac:dyDescent="0.25">
      <c r="A31" s="390" t="s">
        <v>260</v>
      </c>
      <c r="B31" s="390"/>
    </row>
    <row r="32" spans="1:2" ht="3.75" customHeight="1" x14ac:dyDescent="0.25">
      <c r="A32" s="23"/>
      <c r="B32" s="23"/>
    </row>
    <row r="33" spans="1:2" ht="15.75" customHeight="1" x14ac:dyDescent="0.25">
      <c r="A33" s="391" t="s">
        <v>266</v>
      </c>
      <c r="B33" s="391"/>
    </row>
    <row r="34" spans="1:2" ht="90" customHeight="1" x14ac:dyDescent="0.25">
      <c r="A34" s="392" t="s">
        <v>265</v>
      </c>
      <c r="B34" s="392"/>
    </row>
    <row r="35" spans="1:2" s="20" customFormat="1" ht="3.75" customHeight="1" x14ac:dyDescent="0.25">
      <c r="A35" s="22"/>
      <c r="B35" s="22"/>
    </row>
    <row r="36" spans="1:2" s="20" customFormat="1" ht="15.75" customHeight="1" x14ac:dyDescent="0.25">
      <c r="A36" s="384" t="s">
        <v>261</v>
      </c>
      <c r="B36" s="384"/>
    </row>
    <row r="37" spans="1:2" s="20" customFormat="1" x14ac:dyDescent="0.25">
      <c r="A37" s="20" t="s">
        <v>262</v>
      </c>
    </row>
    <row r="38" spans="1:2" x14ac:dyDescent="0.25">
      <c r="A38" t="s">
        <v>263</v>
      </c>
    </row>
    <row r="39" spans="1:2" ht="30" customHeight="1" x14ac:dyDescent="0.25">
      <c r="A39" s="385" t="s">
        <v>264</v>
      </c>
      <c r="B39" s="385"/>
    </row>
  </sheetData>
  <sheetProtection sheet="1" objects="1" scenarios="1"/>
  <mergeCells count="14">
    <mergeCell ref="A36:B36"/>
    <mergeCell ref="A39:B39"/>
    <mergeCell ref="A27:B27"/>
    <mergeCell ref="A28:B28"/>
    <mergeCell ref="A30:B30"/>
    <mergeCell ref="A31:B31"/>
    <mergeCell ref="A33:B33"/>
    <mergeCell ref="A34:B34"/>
    <mergeCell ref="A24:B24"/>
    <mergeCell ref="A7:B7"/>
    <mergeCell ref="A9:B9"/>
    <mergeCell ref="A10:B10"/>
    <mergeCell ref="A11:B11"/>
    <mergeCell ref="A14:B14"/>
  </mergeCells>
  <pageMargins left="0.70866141732283472" right="0.70866141732283472" top="0.78740157480314965" bottom="0.78740157480314965" header="0.31496062992125984" footer="0.31496062992125984"/>
  <pageSetup paperSize="9"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44"/>
  <sheetViews>
    <sheetView showGridLines="0" showRowColHeaders="0" tabSelected="1" zoomScaleNormal="100" workbookViewId="0">
      <selection activeCell="D1" sqref="D1"/>
    </sheetView>
  </sheetViews>
  <sheetFormatPr baseColWidth="10" defaultColWidth="11.42578125" defaultRowHeight="15" x14ac:dyDescent="0.25"/>
  <cols>
    <col min="1" max="2" width="22.85546875" style="25" customWidth="1"/>
    <col min="3" max="4" width="5.7109375" style="25" customWidth="1"/>
    <col min="5" max="5" width="4.28515625" style="25" customWidth="1"/>
    <col min="6" max="7" width="8.5703125" style="25" customWidth="1"/>
    <col min="8" max="8" width="7.140625" style="25" customWidth="1"/>
    <col min="9" max="9" width="0.85546875" style="26" customWidth="1"/>
    <col min="10" max="11" width="22.85546875" style="25" customWidth="1"/>
    <col min="12" max="13" width="5.7109375" style="25" customWidth="1"/>
    <col min="14" max="14" width="4.28515625" style="25" customWidth="1"/>
    <col min="15" max="16" width="8.5703125" style="25" customWidth="1"/>
    <col min="17" max="17" width="7.140625" style="25" customWidth="1"/>
    <col min="18" max="18" width="0.85546875" style="26" customWidth="1"/>
    <col min="19" max="20" width="22.85546875" style="25" customWidth="1"/>
    <col min="21" max="22" width="5.7109375" style="25" customWidth="1"/>
    <col min="23" max="23" width="4.28515625" style="25" customWidth="1"/>
    <col min="24" max="25" width="8.5703125" style="25" customWidth="1"/>
    <col min="26" max="26" width="8.140625" style="25" customWidth="1"/>
    <col min="27" max="27" width="9.28515625" style="25" hidden="1" customWidth="1"/>
    <col min="28" max="29" width="5" style="25" hidden="1" customWidth="1"/>
    <col min="30" max="35" width="11.42578125" style="25" customWidth="1"/>
    <col min="36" max="16384" width="11.42578125" style="25"/>
  </cols>
  <sheetData>
    <row r="1" spans="1:29" ht="25.9" customHeight="1" x14ac:dyDescent="0.35">
      <c r="A1" s="44" t="s">
        <v>163</v>
      </c>
    </row>
    <row r="2" spans="1:29" ht="4.1500000000000004" customHeight="1" x14ac:dyDescent="0.3">
      <c r="A2" s="24"/>
    </row>
    <row r="3" spans="1:29" ht="28.9" customHeight="1" x14ac:dyDescent="0.25">
      <c r="A3" s="396" t="s">
        <v>268</v>
      </c>
      <c r="B3" s="396"/>
      <c r="C3" s="396"/>
      <c r="D3" s="396"/>
      <c r="E3" s="396"/>
      <c r="F3" s="396"/>
      <c r="G3" s="396"/>
      <c r="H3" s="396"/>
      <c r="I3" s="27"/>
      <c r="J3" s="396" t="s">
        <v>269</v>
      </c>
      <c r="K3" s="396"/>
      <c r="L3" s="396"/>
      <c r="M3" s="396"/>
      <c r="N3" s="396"/>
      <c r="O3" s="396"/>
      <c r="P3" s="396"/>
      <c r="Q3" s="396"/>
      <c r="R3" s="27"/>
      <c r="S3" s="396" t="s">
        <v>312</v>
      </c>
      <c r="T3" s="396"/>
      <c r="U3" s="396"/>
      <c r="V3" s="396"/>
      <c r="W3" s="396"/>
      <c r="X3" s="396"/>
      <c r="Y3" s="396"/>
      <c r="Z3" s="396"/>
    </row>
    <row r="4" spans="1:29" x14ac:dyDescent="0.25">
      <c r="A4" s="45"/>
      <c r="B4" s="45"/>
      <c r="C4" s="45"/>
      <c r="D4" s="45"/>
      <c r="E4" s="46" t="s">
        <v>142</v>
      </c>
      <c r="F4" s="46" t="s">
        <v>143</v>
      </c>
      <c r="G4" s="47" t="s">
        <v>144</v>
      </c>
      <c r="H4" s="48"/>
      <c r="I4" s="49"/>
      <c r="J4" s="45"/>
      <c r="K4" s="45"/>
      <c r="L4" s="45"/>
      <c r="M4" s="45"/>
      <c r="N4" s="46" t="s">
        <v>142</v>
      </c>
      <c r="O4" s="46" t="s">
        <v>143</v>
      </c>
      <c r="P4" s="47" t="s">
        <v>144</v>
      </c>
      <c r="Q4" s="48"/>
      <c r="R4" s="49"/>
      <c r="S4" s="45"/>
      <c r="T4" s="45"/>
      <c r="U4" s="45"/>
      <c r="V4" s="45"/>
      <c r="W4" s="46" t="s">
        <v>62</v>
      </c>
      <c r="X4" s="46" t="s">
        <v>125</v>
      </c>
      <c r="Y4" s="47" t="s">
        <v>60</v>
      </c>
      <c r="Z4" s="48"/>
    </row>
    <row r="5" spans="1:29" x14ac:dyDescent="0.25">
      <c r="A5" s="50" t="s">
        <v>134</v>
      </c>
      <c r="B5" s="51"/>
      <c r="C5" s="51"/>
      <c r="D5" s="51" t="s">
        <v>139</v>
      </c>
      <c r="E5" s="50"/>
      <c r="F5" s="52"/>
      <c r="G5" s="50"/>
      <c r="H5" s="50"/>
      <c r="I5" s="53"/>
      <c r="J5" s="50" t="s">
        <v>134</v>
      </c>
      <c r="K5" s="51"/>
      <c r="L5" s="51"/>
      <c r="M5" s="51" t="s">
        <v>139</v>
      </c>
      <c r="N5" s="50"/>
      <c r="O5" s="50"/>
      <c r="P5" s="50"/>
      <c r="Q5" s="50"/>
      <c r="R5" s="53"/>
      <c r="S5" s="50" t="s">
        <v>134</v>
      </c>
      <c r="T5" s="51"/>
      <c r="U5" s="51"/>
      <c r="V5" s="51" t="s">
        <v>139</v>
      </c>
      <c r="W5" s="50"/>
      <c r="X5" s="50"/>
      <c r="Y5" s="50"/>
      <c r="Z5" s="50"/>
      <c r="AA5" s="4" t="s">
        <v>61</v>
      </c>
      <c r="AB5" s="5"/>
      <c r="AC5" s="5"/>
    </row>
    <row r="6" spans="1:29" ht="3.95" customHeight="1" x14ac:dyDescent="0.25">
      <c r="A6" s="30"/>
      <c r="B6" s="30"/>
      <c r="C6" s="30"/>
      <c r="D6" s="30"/>
      <c r="E6" s="46"/>
      <c r="F6" s="46"/>
      <c r="G6" s="47"/>
      <c r="H6" s="54"/>
      <c r="I6" s="53"/>
      <c r="J6" s="55"/>
      <c r="K6" s="30"/>
      <c r="L6" s="30"/>
      <c r="M6" s="30"/>
      <c r="N6" s="46"/>
      <c r="O6" s="46"/>
      <c r="P6" s="47"/>
      <c r="Q6" s="54"/>
      <c r="R6" s="53"/>
      <c r="S6" s="55"/>
      <c r="T6" s="30"/>
      <c r="U6" s="30"/>
      <c r="V6" s="30"/>
      <c r="W6" s="46"/>
      <c r="X6" s="46"/>
      <c r="Y6" s="47"/>
      <c r="Z6" s="54"/>
      <c r="AA6" s="31">
        <v>1</v>
      </c>
      <c r="AB6" s="32">
        <v>2</v>
      </c>
      <c r="AC6" s="32">
        <v>3</v>
      </c>
    </row>
    <row r="7" spans="1:29" x14ac:dyDescent="0.25">
      <c r="A7" s="395" t="s">
        <v>305</v>
      </c>
      <c r="B7" s="395"/>
      <c r="C7" s="393" t="s">
        <v>138</v>
      </c>
      <c r="D7" s="393"/>
      <c r="E7" s="56" t="str">
        <f>IF(ISBLANK(A7),"",VLOOKUP(A7,'Annex machines &amp; travail'!$D$7:$E$255,2,0))</f>
        <v>ha</v>
      </c>
      <c r="F7" s="57">
        <v>2</v>
      </c>
      <c r="G7" s="58" t="s">
        <v>59</v>
      </c>
      <c r="H7" s="59">
        <f>IF(ISBLANK(A7),"",IF(VLOOKUP(C7,Q!$A$6:$B$7,2,FALSE)=2,IF(G7="propriété",(VLOOKUP(Hypothèses!A7,'Annex machines &amp; travail'!$D$7:$L$256,5,FALSE)+VLOOKUP(Hypothèses!A7,'Annex machines &amp; travail'!$D$7:$L$256,7,FALSE))*F7,IF(G7="par tiers",(VLOOKUP(Hypothèses!A7,'Annex machines &amp; travail'!$D$7:$L$256,9,FALSE))*F7,(VLOOKUP(Hypothèses!A7,'Annex machines &amp; travail'!$D$7:$L$256,8,FALSE)+VLOOKUP(A7,'Annex machines &amp; travail'!$D$7:$L$256,5,FALSE))*F7)),IF(G7="propriété",(VLOOKUP(Hypothèses!A7,'Annex machines &amp; travail'!$D$7:$L$256,6,FALSE)+VLOOKUP(Hypothèses!A7,'Annex machines &amp; travail'!$D$7:$L$256,7,FALSE))*F7,IF(G7="par tiers",(VLOOKUP(Hypothèses!A7,'Annex machines &amp; travail'!$D$7:$L$256,9,FALSE))*F7,(VLOOKUP(Hypothèses!A7,'Annex machines &amp; travail'!$D$7:$L$256,8,FALSE)+VLOOKUP(A7,'Annex machines &amp; travail'!$D$7:$L$256,6,FALSE))*F7))))</f>
        <v>108.27959999999999</v>
      </c>
      <c r="I7" s="53"/>
      <c r="J7" s="395" t="s">
        <v>305</v>
      </c>
      <c r="K7" s="395"/>
      <c r="L7" s="393" t="s">
        <v>138</v>
      </c>
      <c r="M7" s="393"/>
      <c r="N7" s="56" t="str">
        <f>IF(ISBLANK(J7),"",VLOOKUP(J7,'Annex machines &amp; travail'!$D$7:$E$255,2,0))</f>
        <v>ha</v>
      </c>
      <c r="O7" s="60">
        <v>2</v>
      </c>
      <c r="P7" s="58" t="s">
        <v>59</v>
      </c>
      <c r="Q7" s="59">
        <f>IF(ISBLANK(J7),"",IF(VLOOKUP(L7,Q!$A$6:$B$7,2,FALSE)=2,IF(P7="propriété",(VLOOKUP(Hypothèses!J7,'Annex machines &amp; travail'!$D$7:$L$256,5,FALSE)+VLOOKUP(Hypothèses!J7,'Annex machines &amp; travail'!$D$7:$L$256,7,FALSE))*O7,IF(P7="par tiers",(VLOOKUP(Hypothèses!J7,'Annex machines &amp; travail'!$D$7:$L$256,9,FALSE))*O7,(VLOOKUP(Hypothèses!J7,'Annex machines &amp; travail'!$D$7:$L$256,8,FALSE)+VLOOKUP(J7,'Annex machines &amp; travail'!$D$7:$L$256,5,FALSE))*O7)),IF(P7="propriété",(VLOOKUP(Hypothèses!J7,'Annex machines &amp; travail'!$D$7:$L$256,6,FALSE)+VLOOKUP(Hypothèses!J7,'Annex machines &amp; travail'!$D$7:$L$256,7,FALSE))*O7,IF(P7="par tiers",(VLOOKUP(Hypothèses!J7,'Annex machines &amp; travail'!$D$7:$L$256,9,FALSE))*O7,(VLOOKUP(Hypothèses!J7,'Annex machines &amp; travail'!$D$7:$L$256,8,FALSE)+VLOOKUP(J7,'Annex machines &amp; travail'!$D$7:$L$256,6,FALSE))*O7))))</f>
        <v>108.27959999999999</v>
      </c>
      <c r="R7" s="53"/>
      <c r="S7" s="395" t="s">
        <v>222</v>
      </c>
      <c r="T7" s="395"/>
      <c r="U7" s="393" t="s">
        <v>138</v>
      </c>
      <c r="V7" s="393"/>
      <c r="W7" s="56" t="str">
        <f>IF(ISBLANK(S7),"",VLOOKUP(S7,'Annex machines &amp; travail'!$D$7:$E$255,2,0))</f>
        <v>ha</v>
      </c>
      <c r="X7" s="60">
        <v>1</v>
      </c>
      <c r="Y7" s="58" t="s">
        <v>59</v>
      </c>
      <c r="Z7" s="59">
        <f>IF(ISBLANK(S7),"",IF(VLOOKUP(U7,Q!$A$6:$B$7,2,FALSE)=2,IF(Y7="propriété",(VLOOKUP(Hypothèses!S7,'Annex machines &amp; travail'!$D$7:$L$256,5,FALSE)+VLOOKUP(Hypothèses!S7,'Annex machines &amp; travail'!$D$7:$L$256,7,FALSE))*X7,IF(Y7="par tiers",(VLOOKUP(Hypothèses!S7,'Annex machines &amp; travail'!$D$7:$L$256,9,FALSE))*X7,(VLOOKUP(Hypothèses!S7,'Annex machines &amp; travail'!$D$7:$L$256,8,FALSE)+VLOOKUP(S7,'Annex machines &amp; travail'!$D$7:$L$256,5,FALSE))*X7)),IF(Y7="propriété",(VLOOKUP(Hypothèses!S7,'Annex machines &amp; travail'!$D$7:$L$256,6,FALSE)+VLOOKUP(Hypothèses!S7,'Annex machines &amp; travail'!$D$7:$L$256,7,FALSE))*X7,IF(Y7="par tiers",(VLOOKUP(Hypothèses!S7,'Annex machines &amp; travail'!$D$7:$L$256,9,FALSE))*X7,(VLOOKUP(Hypothèses!S7,'Annex machines &amp; travail'!$D$7:$L$256,8,FALSE)+VLOOKUP(S7,'Annex machines &amp; travail'!$D$7:$L$256,6,FALSE))*X7))))</f>
        <v>156.95519999999999</v>
      </c>
      <c r="AA7" s="6" t="e">
        <f>IF(G7="location",VLOOKUP(Hypothèses!A7,'Annex machines &amp; travail'!$D$7:$L$256,IF(VLOOKUP($E$5,Q!$A$6:$B$7,2,FALSE)=2,4,5),FALSE)*F7,"")</f>
        <v>#N/A</v>
      </c>
      <c r="AB7" s="6" t="e">
        <f>IF(P7="location",VLOOKUP(Hypothèses!J7,'Annex machines &amp; travail'!$D$7:$L$256,IF(VLOOKUP($N$5,Q!$A$6:$B$7,2,FALSE)=2,4,5),FALSE)*O7,"")</f>
        <v>#N/A</v>
      </c>
      <c r="AC7" s="6" t="e">
        <f>IF(Y7="location",VLOOKUP(Hypothèses!S7,'Annex machines &amp; travail'!$D$7:$L$256,IF(VLOOKUP($W$5,Q!$A$6:$B$7,2,FALSE)=2,4,5),FALSE)*X7,"")</f>
        <v>#N/A</v>
      </c>
    </row>
    <row r="8" spans="1:29" x14ac:dyDescent="0.25">
      <c r="A8" s="395" t="s">
        <v>223</v>
      </c>
      <c r="B8" s="395"/>
      <c r="C8" s="393" t="s">
        <v>138</v>
      </c>
      <c r="D8" s="393"/>
      <c r="E8" s="56" t="str">
        <f>IF(ISBLANK(A8),"",VLOOKUP(A8,'Annex machines &amp; travail'!$D$7:$E$255,2,0))</f>
        <v>ha</v>
      </c>
      <c r="F8" s="57">
        <v>1</v>
      </c>
      <c r="G8" s="58" t="s">
        <v>55</v>
      </c>
      <c r="H8" s="59">
        <f>IF(ISBLANK(A8),"",IF(VLOOKUP(C8,Q!$A$6:$B$7,2,FALSE)=2,IF(G8="propriété",(VLOOKUP(Hypothèses!A8,'Annex machines &amp; travail'!$D$7:$L$256,5,FALSE)+VLOOKUP(Hypothèses!A8,'Annex machines &amp; travail'!$D$7:$L$256,7,FALSE))*F8,IF(G8="par tiers",(VLOOKUP(Hypothèses!A8,'Annex machines &amp; travail'!$D$7:$L$256,9,FALSE))*F8,(VLOOKUP(Hypothèses!A8,'Annex machines &amp; travail'!$D$7:$L$256,8,FALSE)+VLOOKUP(A8,'Annex machines &amp; travail'!$D$7:$L$256,5,FALSE))*F8)),IF(G8="propriété",(VLOOKUP(Hypothèses!A8,'Annex machines &amp; travail'!$D$7:$L$256,6,FALSE)+VLOOKUP(Hypothèses!A8,'Annex machines &amp; travail'!$D$7:$L$256,7,FALSE))*F8,IF(G8="par tiers",(VLOOKUP(Hypothèses!A8,'Annex machines &amp; travail'!$D$7:$L$256,9,FALSE))*F8,(VLOOKUP(Hypothèses!A8,'Annex machines &amp; travail'!$D$7:$L$256,8,FALSE)+VLOOKUP(A8,'Annex machines &amp; travail'!$D$7:$L$256,6,FALSE))*F8))))</f>
        <v>25.596299999999999</v>
      </c>
      <c r="I8" s="53"/>
      <c r="J8" s="395" t="s">
        <v>223</v>
      </c>
      <c r="K8" s="395"/>
      <c r="L8" s="393" t="s">
        <v>138</v>
      </c>
      <c r="M8" s="393"/>
      <c r="N8" s="56" t="str">
        <f>IF(ISBLANK(J8),"",VLOOKUP(J8,'Annex machines &amp; travail'!$D$7:$E$255,2,0))</f>
        <v>ha</v>
      </c>
      <c r="O8" s="60">
        <v>1</v>
      </c>
      <c r="P8" s="58" t="s">
        <v>59</v>
      </c>
      <c r="Q8" s="59">
        <f>IF(ISBLANK(J8),"",IF(VLOOKUP(L8,Q!$A$6:$B$7,2,FALSE)=2,IF(P8="propriété",(VLOOKUP(Hypothèses!J8,'Annex machines &amp; travail'!$D$7:$L$256,5,FALSE)+VLOOKUP(Hypothèses!J8,'Annex machines &amp; travail'!$D$7:$L$256,7,FALSE))*O8,IF(P8="par tiers",(VLOOKUP(Hypothèses!J8,'Annex machines &amp; travail'!$D$7:$L$256,9,FALSE))*O8,(VLOOKUP(Hypothèses!J8,'Annex machines &amp; travail'!$D$7:$L$256,8,FALSE)+VLOOKUP(J8,'Annex machines &amp; travail'!$D$7:$L$256,5,FALSE))*O8)),IF(P8="propriété",(VLOOKUP(Hypothèses!J8,'Annex machines &amp; travail'!$D$7:$L$256,6,FALSE)+VLOOKUP(Hypothèses!J8,'Annex machines &amp; travail'!$D$7:$L$256,7,FALSE))*O8,IF(P8="par tiers",(VLOOKUP(Hypothèses!J8,'Annex machines &amp; travail'!$D$7:$L$256,9,FALSE))*O8,(VLOOKUP(Hypothèses!J8,'Annex machines &amp; travail'!$D$7:$L$256,8,FALSE)+VLOOKUP(J8,'Annex machines &amp; travail'!$D$7:$L$256,6,FALSE))*O8))))</f>
        <v>59.796300000000002</v>
      </c>
      <c r="R8" s="53"/>
      <c r="S8" s="395" t="s">
        <v>308</v>
      </c>
      <c r="T8" s="395"/>
      <c r="U8" s="393" t="s">
        <v>138</v>
      </c>
      <c r="V8" s="393"/>
      <c r="W8" s="56" t="str">
        <f>IF(ISBLANK(S8),"",VLOOKUP(S8,'Annex machines &amp; travail'!$D$7:$E$255,2,0))</f>
        <v>ha</v>
      </c>
      <c r="X8" s="60">
        <v>1</v>
      </c>
      <c r="Y8" s="58" t="s">
        <v>55</v>
      </c>
      <c r="Z8" s="59">
        <f>IF(ISBLANK(S8),"",IF(VLOOKUP(U8,Q!$A$6:$B$7,2,FALSE)=2,IF(Y8="propriété",(VLOOKUP(Hypothèses!S8,'Annex machines &amp; travail'!$D$7:$L$256,5,FALSE)+VLOOKUP(Hypothèses!S8,'Annex machines &amp; travail'!$D$7:$L$256,7,FALSE))*X8,IF(Y8="par tiers",(VLOOKUP(Hypothèses!S8,'Annex machines &amp; travail'!$D$7:$L$256,9,FALSE))*X8,(VLOOKUP(Hypothèses!S8,'Annex machines &amp; travail'!$D$7:$L$256,8,FALSE)+VLOOKUP(S8,'Annex machines &amp; travail'!$D$7:$L$256,5,FALSE))*X8)),IF(Y8="propriété",(VLOOKUP(Hypothèses!S8,'Annex machines &amp; travail'!$D$7:$L$256,6,FALSE)+VLOOKUP(Hypothèses!S8,'Annex machines &amp; travail'!$D$7:$L$256,7,FALSE))*X8,IF(Y8="par tiers",(VLOOKUP(Hypothèses!S8,'Annex machines &amp; travail'!$D$7:$L$256,9,FALSE))*X8,(VLOOKUP(Hypothèses!S8,'Annex machines &amp; travail'!$D$7:$L$256,8,FALSE)+VLOOKUP(S8,'Annex machines &amp; travail'!$D$7:$L$256,6,FALSE))*X8))))</f>
        <v>40.569299999999998</v>
      </c>
      <c r="AA8" s="6" t="str">
        <f>IF(G8="location",VLOOKUP(Hypothèses!A8,'Annex machines &amp; travail'!$D$7:$L$256,IF(VLOOKUP($E$5,Q!$A$6:$B$7,2,FALSE)=2,4,5),FALSE)*F8,"")</f>
        <v/>
      </c>
      <c r="AB8" s="6" t="e">
        <f>IF(P8="location",VLOOKUP(Hypothèses!J8,'Annex machines &amp; travail'!$D$7:$L$256,IF(VLOOKUP($N$5,Q!$A$6:$B$7,2,FALSE)=2,4,5),FALSE)*O8,"")</f>
        <v>#N/A</v>
      </c>
      <c r="AC8" s="6" t="str">
        <f>IF(Y8="location",VLOOKUP(Hypothèses!S8,'Annex machines &amp; travail'!$D$7:$L$256,IF(VLOOKUP($W$5,Q!$A$6:$B$7,2,FALSE)=2,4,5),FALSE)*X8,"")</f>
        <v/>
      </c>
    </row>
    <row r="9" spans="1:29" x14ac:dyDescent="0.25">
      <c r="A9" s="395" t="s">
        <v>304</v>
      </c>
      <c r="B9" s="395"/>
      <c r="C9" s="393" t="s">
        <v>138</v>
      </c>
      <c r="D9" s="393"/>
      <c r="E9" s="56" t="str">
        <f>IF(ISBLANK(A9),"",VLOOKUP(A9,'Annex machines &amp; travail'!$D$7:$E$255,2,0))</f>
        <v>ha</v>
      </c>
      <c r="F9" s="57">
        <v>1</v>
      </c>
      <c r="G9" s="58" t="s">
        <v>54</v>
      </c>
      <c r="H9" s="59">
        <f>IF(ISBLANK(A9),"",IF(VLOOKUP(C9,Q!$A$6:$B$7,2,FALSE)=2,IF(G9="propriété",(VLOOKUP(Hypothèses!A9,'Annex machines &amp; travail'!$D$7:$L$256,5,FALSE)+VLOOKUP(Hypothèses!A9,'Annex machines &amp; travail'!$D$7:$L$256,7,FALSE))*F9,IF(G9="par tiers",(VLOOKUP(Hypothèses!A9,'Annex machines &amp; travail'!$D$7:$L$256,9,FALSE))*F9,(VLOOKUP(Hypothèses!A9,'Annex machines &amp; travail'!$D$7:$L$256,8,FALSE)+VLOOKUP(A9,'Annex machines &amp; travail'!$D$7:$L$256,5,FALSE))*F9)),IF(G9="propriété",(VLOOKUP(Hypothèses!A9,'Annex machines &amp; travail'!$D$7:$L$256,6,FALSE)+VLOOKUP(Hypothèses!A9,'Annex machines &amp; travail'!$D$7:$L$256,7,FALSE))*F9,IF(G9="par tiers",(VLOOKUP(Hypothèses!A9,'Annex machines &amp; travail'!$D$7:$L$256,9,FALSE))*F9,(VLOOKUP(Hypothèses!A9,'Annex machines &amp; travail'!$D$7:$L$256,8,FALSE)+VLOOKUP(A9,'Annex machines &amp; travail'!$D$7:$L$256,6,FALSE))*F9))))</f>
        <v>130</v>
      </c>
      <c r="I9" s="53"/>
      <c r="J9" s="395" t="s">
        <v>304</v>
      </c>
      <c r="K9" s="395"/>
      <c r="L9" s="393" t="s">
        <v>138</v>
      </c>
      <c r="M9" s="393"/>
      <c r="N9" s="56" t="str">
        <f>IF(ISBLANK(J9),"",VLOOKUP(J9,'Annex machines &amp; travail'!$D$7:$E$255,2,0))</f>
        <v>ha</v>
      </c>
      <c r="O9" s="60">
        <v>1</v>
      </c>
      <c r="P9" s="58" t="s">
        <v>54</v>
      </c>
      <c r="Q9" s="59">
        <f>IF(ISBLANK(J9),"",IF(VLOOKUP(L9,Q!$A$6:$B$7,2,FALSE)=2,IF(P9="propriété",(VLOOKUP(Hypothèses!J9,'Annex machines &amp; travail'!$D$7:$L$256,5,FALSE)+VLOOKUP(Hypothèses!J9,'Annex machines &amp; travail'!$D$7:$L$256,7,FALSE))*O9,IF(P9="par tiers",(VLOOKUP(Hypothèses!J9,'Annex machines &amp; travail'!$D$7:$L$256,9,FALSE))*O9,(VLOOKUP(Hypothèses!J9,'Annex machines &amp; travail'!$D$7:$L$256,8,FALSE)+VLOOKUP(J9,'Annex machines &amp; travail'!$D$7:$L$256,5,FALSE))*O9)),IF(P9="propriété",(VLOOKUP(Hypothèses!J9,'Annex machines &amp; travail'!$D$7:$L$256,6,FALSE)+VLOOKUP(Hypothèses!J9,'Annex machines &amp; travail'!$D$7:$L$256,7,FALSE))*O9,IF(P9="par tiers",(VLOOKUP(Hypothèses!J9,'Annex machines &amp; travail'!$D$7:$L$256,9,FALSE))*O9,(VLOOKUP(Hypothèses!J9,'Annex machines &amp; travail'!$D$7:$L$256,8,FALSE)+VLOOKUP(J9,'Annex machines &amp; travail'!$D$7:$L$256,6,FALSE))*O9))))</f>
        <v>130</v>
      </c>
      <c r="R9" s="53"/>
      <c r="S9" s="395" t="s">
        <v>309</v>
      </c>
      <c r="T9" s="395"/>
      <c r="U9" s="393" t="s">
        <v>138</v>
      </c>
      <c r="V9" s="393"/>
      <c r="W9" s="56" t="str">
        <f>IF(ISBLANK(S9),"",VLOOKUP(S9,'Annex machines &amp; travail'!$D$7:$E$255,2,0))</f>
        <v>ha</v>
      </c>
      <c r="X9" s="60">
        <v>1</v>
      </c>
      <c r="Y9" s="58" t="s">
        <v>55</v>
      </c>
      <c r="Z9" s="59">
        <f>IF(ISBLANK(S9),"",IF(VLOOKUP(U9,Q!$A$6:$B$7,2,FALSE)=2,IF(Y9="propriété",(VLOOKUP(Hypothèses!S9,'Annex machines &amp; travail'!$D$7:$L$256,5,FALSE)+VLOOKUP(Hypothèses!S9,'Annex machines &amp; travail'!$D$7:$L$256,7,FALSE))*X9,IF(Y9="par tiers",(VLOOKUP(Hypothèses!S9,'Annex machines &amp; travail'!$D$7:$L$256,9,FALSE))*X9,(VLOOKUP(Hypothèses!S9,'Annex machines &amp; travail'!$D$7:$L$256,8,FALSE)+VLOOKUP(S9,'Annex machines &amp; travail'!$D$7:$L$256,5,FALSE))*X9)),IF(Y9="propriété",(VLOOKUP(Hypothèses!S9,'Annex machines &amp; travail'!$D$7:$L$256,6,FALSE)+VLOOKUP(Hypothèses!S9,'Annex machines &amp; travail'!$D$7:$L$256,7,FALSE))*X9,IF(Y9="par tiers",(VLOOKUP(Hypothèses!S9,'Annex machines &amp; travail'!$D$7:$L$256,9,FALSE))*X9,(VLOOKUP(Hypothèses!S9,'Annex machines &amp; travail'!$D$7:$L$256,8,FALSE)+VLOOKUP(S9,'Annex machines &amp; travail'!$D$7:$L$256,6,FALSE))*X9))))</f>
        <v>63.754285714285714</v>
      </c>
      <c r="AA9" s="6" t="str">
        <f>IF(G9="location",VLOOKUP(Hypothèses!A9,'Annex machines &amp; travail'!$D$7:$L$256,IF(VLOOKUP($E$5,Q!$A$6:$B$7,2,FALSE)=2,4,5),FALSE)*F9,"")</f>
        <v/>
      </c>
      <c r="AB9" s="6" t="str">
        <f>IF(P9="location",VLOOKUP(Hypothèses!J9,'Annex machines &amp; travail'!$D$7:$L$256,IF(VLOOKUP($N$5,Q!$A$6:$B$7,2,FALSE)=2,4,5),FALSE)*O9,"")</f>
        <v/>
      </c>
      <c r="AC9" s="6" t="str">
        <f>IF(Y9="location",VLOOKUP(Hypothèses!S9,'Annex machines &amp; travail'!$D$7:$L$256,IF(VLOOKUP($W$5,Q!$A$6:$B$7,2,FALSE)=2,4,5),FALSE)*X9,"")</f>
        <v/>
      </c>
    </row>
    <row r="10" spans="1:29" x14ac:dyDescent="0.25">
      <c r="A10" s="395"/>
      <c r="B10" s="395"/>
      <c r="C10" s="393"/>
      <c r="D10" s="393"/>
      <c r="E10" s="56" t="str">
        <f>IF(ISBLANK(A10),"",VLOOKUP(A10,'Annex machines &amp; travail'!$D$7:$E$255,2,0))</f>
        <v/>
      </c>
      <c r="F10" s="57"/>
      <c r="G10" s="58" t="s">
        <v>129</v>
      </c>
      <c r="H10" s="59" t="str">
        <f>IF(ISBLANK(A10),"",IF(VLOOKUP(C10,Q!$A$6:$B$7,2,FALSE)=2,IF(G10="propriété",(VLOOKUP(Hypothèses!A10,'Annex machines &amp; travail'!$D$7:$L$256,5,FALSE)+VLOOKUP(Hypothèses!A10,'Annex machines &amp; travail'!$D$7:$L$256,7,FALSE))*F10,IF(G10="par tiers",(VLOOKUP(Hypothèses!A10,'Annex machines &amp; travail'!$D$7:$L$256,9,FALSE))*F10,(VLOOKUP(Hypothèses!A10,'Annex machines &amp; travail'!$D$7:$L$256,8,FALSE)+VLOOKUP(A10,'Annex machines &amp; travail'!$D$7:$L$256,5,FALSE))*F10)),IF(G10="propriété",(VLOOKUP(Hypothèses!A10,'Annex machines &amp; travail'!$D$7:$L$256,6,FALSE)+VLOOKUP(Hypothèses!A10,'Annex machines &amp; travail'!$D$7:$L$256,7,FALSE))*F10,IF(G10="par tiers",(VLOOKUP(Hypothèses!A10,'Annex machines &amp; travail'!$D$7:$L$256,9,FALSE))*F10,(VLOOKUP(Hypothèses!A10,'Annex machines &amp; travail'!$D$7:$L$256,8,FALSE)+VLOOKUP(A10,'Annex machines &amp; travail'!$D$7:$L$256,6,FALSE))*F10))))</f>
        <v/>
      </c>
      <c r="I10" s="53"/>
      <c r="J10" s="395"/>
      <c r="K10" s="395"/>
      <c r="L10" s="393"/>
      <c r="M10" s="393"/>
      <c r="N10" s="56" t="str">
        <f>IF(ISBLANK(J10),"",VLOOKUP(J10,'Annex machines &amp; travail'!$D$7:$E$255,2,0))</f>
        <v/>
      </c>
      <c r="O10" s="60"/>
      <c r="P10" s="58" t="s">
        <v>129</v>
      </c>
      <c r="Q10" s="59" t="str">
        <f>IF(ISBLANK(J10),"",IF(VLOOKUP(L10,Q!$A$6:$B$7,2,FALSE)=2,IF(P10="propriété",(VLOOKUP(Hypothèses!J10,'Annex machines &amp; travail'!$D$7:$L$256,5,FALSE)+VLOOKUP(Hypothèses!J10,'Annex machines &amp; travail'!$D$7:$L$256,7,FALSE))*O10,IF(P10="par tiers",(VLOOKUP(Hypothèses!J10,'Annex machines &amp; travail'!$D$7:$L$256,9,FALSE))*O10,(VLOOKUP(Hypothèses!J10,'Annex machines &amp; travail'!$D$7:$L$256,8,FALSE)+VLOOKUP(J10,'Annex machines &amp; travail'!$D$7:$L$256,5,FALSE))*O10)),IF(P10="propriété",(VLOOKUP(Hypothèses!J10,'Annex machines &amp; travail'!$D$7:$L$256,6,FALSE)+VLOOKUP(Hypothèses!J10,'Annex machines &amp; travail'!$D$7:$L$256,7,FALSE))*O10,IF(P10="par tiers",(VLOOKUP(Hypothèses!J10,'Annex machines &amp; travail'!$D$7:$L$256,9,FALSE))*O10,(VLOOKUP(Hypothèses!J10,'Annex machines &amp; travail'!$D$7:$L$256,8,FALSE)+VLOOKUP(J10,'Annex machines &amp; travail'!$D$7:$L$256,6,FALSE))*O10))))</f>
        <v/>
      </c>
      <c r="R10" s="53"/>
      <c r="S10" s="395" t="s">
        <v>223</v>
      </c>
      <c r="T10" s="395"/>
      <c r="U10" s="393" t="s">
        <v>138</v>
      </c>
      <c r="V10" s="393"/>
      <c r="W10" s="56" t="str">
        <f>IF(ISBLANK(S10),"",VLOOKUP(S10,'Annex machines &amp; travail'!$D$7:$E$255,2,0))</f>
        <v>ha</v>
      </c>
      <c r="X10" s="60">
        <v>1</v>
      </c>
      <c r="Y10" s="58" t="s">
        <v>55</v>
      </c>
      <c r="Z10" s="59">
        <f>IF(ISBLANK(S10),"",IF(VLOOKUP(U10,Q!$A$6:$B$7,2,FALSE)=2,IF(Y10="propriété",(VLOOKUP(Hypothèses!S10,'Annex machines &amp; travail'!$D$7:$L$256,5,FALSE)+VLOOKUP(Hypothèses!S10,'Annex machines &amp; travail'!$D$7:$L$256,7,FALSE))*X10,IF(Y10="par tiers",(VLOOKUP(Hypothèses!S10,'Annex machines &amp; travail'!$D$7:$L$256,9,FALSE))*X10,(VLOOKUP(Hypothèses!S10,'Annex machines &amp; travail'!$D$7:$L$256,8,FALSE)+VLOOKUP(S10,'Annex machines &amp; travail'!$D$7:$L$256,5,FALSE))*X10)),IF(Y10="propriété",(VLOOKUP(Hypothèses!S10,'Annex machines &amp; travail'!$D$7:$L$256,6,FALSE)+VLOOKUP(Hypothèses!S10,'Annex machines &amp; travail'!$D$7:$L$256,7,FALSE))*X10,IF(Y10="par tiers",(VLOOKUP(Hypothèses!S10,'Annex machines &amp; travail'!$D$7:$L$256,9,FALSE))*X10,(VLOOKUP(Hypothèses!S10,'Annex machines &amp; travail'!$D$7:$L$256,8,FALSE)+VLOOKUP(S10,'Annex machines &amp; travail'!$D$7:$L$256,6,FALSE))*X10))))</f>
        <v>25.596299999999999</v>
      </c>
      <c r="AA10" s="6" t="str">
        <f>IF(G10="location",VLOOKUP(Hypothèses!A10,'Annex machines &amp; travail'!$D$7:$L$256,IF(VLOOKUP($E$5,Q!$A$6:$B$7,2,FALSE)=2,4,5),FALSE)*F10,"")</f>
        <v/>
      </c>
      <c r="AB10" s="6" t="str">
        <f>IF(P10="location",VLOOKUP(Hypothèses!J10,'Annex machines &amp; travail'!$D$7:$L$256,IF(VLOOKUP($N$5,Q!$A$6:$B$7,2,FALSE)=2,4,5),FALSE)*O10,"")</f>
        <v/>
      </c>
      <c r="AC10" s="6" t="str">
        <f>IF(Y10="location",VLOOKUP(Hypothèses!S10,'Annex machines &amp; travail'!$D$7:$L$256,IF(VLOOKUP($W$5,Q!$A$6:$B$7,2,FALSE)=2,4,5),FALSE)*X10,"")</f>
        <v/>
      </c>
    </row>
    <row r="11" spans="1:29" x14ac:dyDescent="0.25">
      <c r="A11" s="397"/>
      <c r="B11" s="397"/>
      <c r="C11" s="394"/>
      <c r="D11" s="394"/>
      <c r="E11" s="56" t="str">
        <f>IF(ISBLANK(A11),"",VLOOKUP(A11,'Annex machines &amp; travail'!$D$7:$E$255,2,0))</f>
        <v/>
      </c>
      <c r="F11" s="61"/>
      <c r="G11" s="58" t="s">
        <v>129</v>
      </c>
      <c r="H11" s="59" t="str">
        <f>IF(ISBLANK(A11),"",IF(VLOOKUP(C11,Q!$A$6:$B$7,2,FALSE)=2,IF(G11="propriété",(VLOOKUP(Hypothèses!A11,'Annex machines &amp; travail'!$D$7:$L$256,5,FALSE)+VLOOKUP(Hypothèses!A11,'Annex machines &amp; travail'!$D$7:$L$256,7,FALSE))*F11,IF(G11="par tiers",(VLOOKUP(Hypothèses!A11,'Annex machines &amp; travail'!$D$7:$L$256,9,FALSE))*F11,(VLOOKUP(Hypothèses!A11,'Annex machines &amp; travail'!$D$7:$L$256,8,FALSE)+VLOOKUP(A11,'Annex machines &amp; travail'!$D$7:$L$256,5,FALSE))*F11)),IF(G11="propriété",(VLOOKUP(Hypothèses!A11,'Annex machines &amp; travail'!$D$7:$L$256,6,FALSE)+VLOOKUP(Hypothèses!A11,'Annex machines &amp; travail'!$D$7:$L$256,7,FALSE))*F11,IF(G11="par tiers",(VLOOKUP(Hypothèses!A11,'Annex machines &amp; travail'!$D$7:$L$256,9,FALSE))*F11,(VLOOKUP(Hypothèses!A11,'Annex machines &amp; travail'!$D$7:$L$256,8,FALSE)+VLOOKUP(A11,'Annex machines &amp; travail'!$D$7:$L$256,6,FALSE))*F11))))</f>
        <v/>
      </c>
      <c r="I11" s="53"/>
      <c r="J11" s="397"/>
      <c r="K11" s="397"/>
      <c r="L11" s="394"/>
      <c r="M11" s="394"/>
      <c r="N11" s="56" t="str">
        <f>IF(ISBLANK(J11),"",VLOOKUP(J11,'Annex machines &amp; travail'!$D$7:$E$255,2,0))</f>
        <v/>
      </c>
      <c r="O11" s="62"/>
      <c r="P11" s="58" t="s">
        <v>129</v>
      </c>
      <c r="Q11" s="59" t="str">
        <f>IF(ISBLANK(J11),"",IF(VLOOKUP(L11,Q!$A$6:$B$7,2,FALSE)=2,IF(P11="propriété",(VLOOKUP(Hypothèses!J11,'Annex machines &amp; travail'!$D$7:$L$256,5,FALSE)+VLOOKUP(Hypothèses!J11,'Annex machines &amp; travail'!$D$7:$L$256,7,FALSE))*O11,IF(P11="par tiers",(VLOOKUP(Hypothèses!J11,'Annex machines &amp; travail'!$D$7:$L$256,9,FALSE))*O11,(VLOOKUP(Hypothèses!J11,'Annex machines &amp; travail'!$D$7:$L$256,8,FALSE)+VLOOKUP(J11,'Annex machines &amp; travail'!$D$7:$L$256,5,FALSE))*O11)),IF(P11="propriété",(VLOOKUP(Hypothèses!J11,'Annex machines &amp; travail'!$D$7:$L$256,6,FALSE)+VLOOKUP(Hypothèses!J11,'Annex machines &amp; travail'!$D$7:$L$256,7,FALSE))*O11,IF(P11="par tiers",(VLOOKUP(Hypothèses!J11,'Annex machines &amp; travail'!$D$7:$L$256,9,FALSE))*O11,(VLOOKUP(Hypothèses!J11,'Annex machines &amp; travail'!$D$7:$L$256,8,FALSE)+VLOOKUP(J11,'Annex machines &amp; travail'!$D$7:$L$256,6,FALSE))*O11))))</f>
        <v/>
      </c>
      <c r="R11" s="53"/>
      <c r="S11" s="397"/>
      <c r="T11" s="397"/>
      <c r="U11" s="394"/>
      <c r="V11" s="394"/>
      <c r="W11" s="56" t="str">
        <f>IF(ISBLANK(S11),"",VLOOKUP(S11,'Annex machines &amp; travail'!$D$7:$E$255,2,0))</f>
        <v/>
      </c>
      <c r="X11" s="62"/>
      <c r="Y11" s="58" t="s">
        <v>129</v>
      </c>
      <c r="Z11" s="59" t="str">
        <f>IF(ISBLANK(S11),"",IF(VLOOKUP(U11,Q!$A$6:$B$7,2,FALSE)=2,IF(Y11="propriété",(VLOOKUP(Hypothèses!S11,'Annex machines &amp; travail'!$D$7:$L$256,5,FALSE)+VLOOKUP(Hypothèses!S11,'Annex machines &amp; travail'!$D$7:$L$256,7,FALSE))*X11,IF(Y11="par tiers",(VLOOKUP(Hypothèses!S11,'Annex machines &amp; travail'!$D$7:$L$256,9,FALSE))*X11,(VLOOKUP(Hypothèses!S11,'Annex machines &amp; travail'!$D$7:$L$256,8,FALSE)+VLOOKUP(S11,'Annex machines &amp; travail'!$D$7:$L$256,5,FALSE))*X11)),IF(Y11="propriété",(VLOOKUP(Hypothèses!S11,'Annex machines &amp; travail'!$D$7:$L$256,6,FALSE)+VLOOKUP(Hypothèses!S11,'Annex machines &amp; travail'!$D$7:$L$256,7,FALSE))*X11,IF(Y11="par tiers",(VLOOKUP(Hypothèses!S11,'Annex machines &amp; travail'!$D$7:$L$256,9,FALSE))*X11,(VLOOKUP(Hypothèses!S11,'Annex machines &amp; travail'!$D$7:$L$256,8,FALSE)+VLOOKUP(S11,'Annex machines &amp; travail'!$D$7:$L$256,6,FALSE))*X11))))</f>
        <v/>
      </c>
      <c r="AA11" s="6" t="str">
        <f>IF(G11="location",VLOOKUP(Hypothèses!A11,'Annex machines &amp; travail'!$D$7:$L$256,IF(VLOOKUP($E$5,Q!$A$6:$B$7,2,FALSE)=2,4,5),FALSE)*F11,"")</f>
        <v/>
      </c>
      <c r="AB11" s="6" t="str">
        <f>IF(P11="location",VLOOKUP(Hypothèses!J11,'Annex machines &amp; travail'!$D$7:$L$256,IF(VLOOKUP($N$5,Q!$A$6:$B$7,2,FALSE)=2,4,5),FALSE)*O11,"")</f>
        <v/>
      </c>
      <c r="AC11" s="6" t="str">
        <f>IF(Y11="location",VLOOKUP(Hypothèses!S11,'Annex machines &amp; travail'!$D$7:$L$256,IF(VLOOKUP($W$5,Q!$A$6:$B$7,2,FALSE)=2,4,5),FALSE)*X11,"")</f>
        <v/>
      </c>
    </row>
    <row r="12" spans="1:29" ht="3.75" customHeight="1" x14ac:dyDescent="0.25">
      <c r="A12" s="30"/>
      <c r="B12" s="30"/>
      <c r="C12" s="30"/>
      <c r="D12" s="30"/>
      <c r="E12" s="30"/>
      <c r="F12" s="30"/>
      <c r="G12" s="30"/>
      <c r="H12" s="33"/>
      <c r="I12" s="34"/>
      <c r="J12" s="30"/>
      <c r="K12" s="30"/>
      <c r="L12" s="30"/>
      <c r="M12" s="30"/>
      <c r="N12" s="30"/>
      <c r="O12" s="30"/>
      <c r="P12" s="30"/>
      <c r="Q12" s="33"/>
      <c r="R12" s="34"/>
      <c r="S12" s="30"/>
      <c r="T12" s="30"/>
      <c r="U12" s="30"/>
      <c r="V12" s="30"/>
      <c r="W12" s="30"/>
      <c r="X12" s="30"/>
      <c r="Y12" s="30"/>
      <c r="Z12" s="33"/>
    </row>
    <row r="13" spans="1:29" x14ac:dyDescent="0.25">
      <c r="A13" s="50" t="s">
        <v>65</v>
      </c>
      <c r="B13" s="50"/>
      <c r="C13" s="50"/>
      <c r="D13" s="50"/>
      <c r="E13" s="50"/>
      <c r="F13" s="50"/>
      <c r="G13" s="50"/>
      <c r="H13" s="63"/>
      <c r="I13" s="53"/>
      <c r="J13" s="50" t="s">
        <v>65</v>
      </c>
      <c r="K13" s="50"/>
      <c r="L13" s="50"/>
      <c r="M13" s="50"/>
      <c r="N13" s="50"/>
      <c r="O13" s="50"/>
      <c r="P13" s="50"/>
      <c r="Q13" s="63"/>
      <c r="R13" s="53"/>
      <c r="S13" s="50" t="s">
        <v>65</v>
      </c>
      <c r="T13" s="50"/>
      <c r="U13" s="50"/>
      <c r="V13" s="50"/>
      <c r="W13" s="50"/>
      <c r="X13" s="50"/>
      <c r="Y13" s="50"/>
      <c r="Z13" s="63"/>
      <c r="AA13" s="6"/>
      <c r="AB13" s="6"/>
      <c r="AC13" s="6"/>
    </row>
    <row r="14" spans="1:29" ht="3.95" customHeight="1" x14ac:dyDescent="0.25">
      <c r="A14" s="30"/>
      <c r="B14" s="30"/>
      <c r="C14" s="30"/>
      <c r="D14" s="30"/>
      <c r="E14" s="46"/>
      <c r="F14" s="46"/>
      <c r="G14" s="47"/>
      <c r="H14" s="59"/>
      <c r="I14" s="53"/>
      <c r="J14" s="55"/>
      <c r="K14" s="30"/>
      <c r="L14" s="30"/>
      <c r="M14" s="30"/>
      <c r="N14" s="46"/>
      <c r="O14" s="46"/>
      <c r="P14" s="47"/>
      <c r="Q14" s="59"/>
      <c r="R14" s="53"/>
      <c r="S14" s="55"/>
      <c r="T14" s="30"/>
      <c r="U14" s="30"/>
      <c r="V14" s="30"/>
      <c r="W14" s="46"/>
      <c r="X14" s="46"/>
      <c r="Y14" s="47"/>
      <c r="Z14" s="59"/>
      <c r="AA14" s="31"/>
      <c r="AB14" s="32"/>
      <c r="AC14" s="32"/>
    </row>
    <row r="15" spans="1:29" x14ac:dyDescent="0.25">
      <c r="A15" s="395" t="s">
        <v>224</v>
      </c>
      <c r="B15" s="395"/>
      <c r="C15" s="393" t="s">
        <v>138</v>
      </c>
      <c r="D15" s="393"/>
      <c r="E15" s="56" t="str">
        <f>IF(ISBLANK(A15),"",VLOOKUP(A15,'Annex machines &amp; travail'!$D$7:$E$255,2,0))</f>
        <v>ha</v>
      </c>
      <c r="F15" s="57">
        <v>1</v>
      </c>
      <c r="G15" s="58" t="s">
        <v>55</v>
      </c>
      <c r="H15" s="59">
        <f>IF(ISBLANK(A15),"",IF(VLOOKUP(C15,Q!$A$6:$B$7,2,FALSE)=2,IF(G15="propriété",(VLOOKUP(Hypothèses!A15,'Annex machines &amp; travail'!$D$7:$L$256,5,FALSE)+VLOOKUP(Hypothèses!A15,'Annex machines &amp; travail'!$D$7:$L$256,7,FALSE))*F15,IF(G15="par tiers",(VLOOKUP(Hypothèses!A15,'Annex machines &amp; travail'!$D$7:$L$256,9,FALSE))*F15,(VLOOKUP(Hypothèses!A15,'Annex machines &amp; travail'!$D$7:$L$256,8,FALSE)+VLOOKUP(A15,'Annex machines &amp; travail'!$D$7:$L$256,5,FALSE))*F15)),IF(G15="propriété",(VLOOKUP(Hypothèses!A15,'Annex machines &amp; travail'!$D$7:$L$256,6,FALSE)+VLOOKUP(Hypothèses!A15,'Annex machines &amp; travail'!$D$7:$L$256,7,FALSE))*F15,IF(G15="par tiers",(VLOOKUP(Hypothèses!A15,'Annex machines &amp; travail'!$D$7:$L$256,9,FALSE))*F15,(VLOOKUP(Hypothèses!A15,'Annex machines &amp; travail'!$D$7:$L$256,8,FALSE)+VLOOKUP(A15,'Annex machines &amp; travail'!$D$7:$L$256,6,FALSE))*F15))))</f>
        <v>9.5459999999999994</v>
      </c>
      <c r="I15" s="64"/>
      <c r="J15" s="395" t="s">
        <v>224</v>
      </c>
      <c r="K15" s="395"/>
      <c r="L15" s="393" t="s">
        <v>138</v>
      </c>
      <c r="M15" s="393"/>
      <c r="N15" s="56" t="str">
        <f>IF(ISBLANK(J15),"",VLOOKUP(J15,'Annex machines &amp; travail'!$D$7:$E$255,2,0))</f>
        <v>ha</v>
      </c>
      <c r="O15" s="60">
        <v>1</v>
      </c>
      <c r="P15" s="58" t="s">
        <v>55</v>
      </c>
      <c r="Q15" s="59">
        <f>IF(ISBLANK(J15),"",IF(VLOOKUP(L15,Q!$A$6:$B$7,2,FALSE)=2,IF(P15="propriété",(VLOOKUP(Hypothèses!J15,'Annex machines &amp; travail'!$D$7:$L$256,5,FALSE)+VLOOKUP(Hypothèses!J15,'Annex machines &amp; travail'!$D$7:$L$256,7,FALSE))*O15,IF(P15="par tiers",(VLOOKUP(Hypothèses!J15,'Annex machines &amp; travail'!$D$7:$L$256,9,FALSE))*O15,(VLOOKUP(Hypothèses!J15,'Annex machines &amp; travail'!$D$7:$L$256,8,FALSE)+VLOOKUP(J15,'Annex machines &amp; travail'!$D$7:$L$256,5,FALSE))*O15)),IF(P15="propriété",(VLOOKUP(Hypothèses!J15,'Annex machines &amp; travail'!$D$7:$L$256,6,FALSE)+VLOOKUP(Hypothèses!J15,'Annex machines &amp; travail'!$D$7:$L$256,7,FALSE))*O15,IF(P15="par tiers",(VLOOKUP(Hypothèses!J15,'Annex machines &amp; travail'!$D$7:$L$256,9,FALSE))*O15,(VLOOKUP(Hypothèses!J15,'Annex machines &amp; travail'!$D$7:$L$256,8,FALSE)+VLOOKUP(J15,'Annex machines &amp; travail'!$D$7:$L$256,6,FALSE))*O15))))</f>
        <v>9.5459999999999994</v>
      </c>
      <c r="R15" s="64"/>
      <c r="S15" s="395" t="s">
        <v>310</v>
      </c>
      <c r="T15" s="395"/>
      <c r="U15" s="393" t="s">
        <v>138</v>
      </c>
      <c r="V15" s="393"/>
      <c r="W15" s="56" t="str">
        <f>IF(ISBLANK(S15),"",VLOOKUP(S15,'Annex machines &amp; travail'!$D$7:$E$255,2,0))</f>
        <v>ha</v>
      </c>
      <c r="X15" s="60">
        <v>2</v>
      </c>
      <c r="Y15" s="58" t="s">
        <v>55</v>
      </c>
      <c r="Z15" s="59">
        <f>IF(ISBLANK(S15),"",IF(VLOOKUP(U15,Q!$A$6:$B$7,2,FALSE)=2,IF(Y15="propriété",(VLOOKUP(Hypothèses!S15,'Annex machines &amp; travail'!$D$7:$L$256,5,FALSE)+VLOOKUP(Hypothèses!S15,'Annex machines &amp; travail'!$D$7:$L$256,7,FALSE))*X15,IF(Y15="par tiers",(VLOOKUP(Hypothèses!S15,'Annex machines &amp; travail'!$D$7:$L$256,9,FALSE))*X15,(VLOOKUP(Hypothèses!S15,'Annex machines &amp; travail'!$D$7:$L$256,8,FALSE)+VLOOKUP(S15,'Annex machines &amp; travail'!$D$7:$L$256,5,FALSE))*X15)),IF(Y15="propriété",(VLOOKUP(Hypothèses!S15,'Annex machines &amp; travail'!$D$7:$L$256,6,FALSE)+VLOOKUP(Hypothèses!S15,'Annex machines &amp; travail'!$D$7:$L$256,7,FALSE))*X15,IF(Y15="par tiers",(VLOOKUP(Hypothèses!S15,'Annex machines &amp; travail'!$D$7:$L$256,9,FALSE))*X15,(VLOOKUP(Hypothèses!S15,'Annex machines &amp; travail'!$D$7:$L$256,8,FALSE)+VLOOKUP(S15,'Annex machines &amp; travail'!$D$7:$L$256,6,FALSE))*X15))))</f>
        <v>20.899000000000001</v>
      </c>
      <c r="AA15" s="6" t="str">
        <f>IF(G15="location",VLOOKUP(Hypothèses!A15,'Annex machines &amp; travail'!$D$7:$L$256,IF(VLOOKUP($E$13,Q!$A$6:$B$7,2,FALSE)=2,4,5),FALSE)*F15,"")</f>
        <v/>
      </c>
      <c r="AB15" s="6" t="str">
        <f>IF(P15="location",VLOOKUP(Hypothèses!J15,'Annex machines &amp; travail'!$D$7:$L$256,IF(VLOOKUP($N$13,Q!$A$6:$B$7,2,FALSE)=2,4,5),FALSE)*O15,"")</f>
        <v/>
      </c>
      <c r="AC15" s="6" t="str">
        <f>IF(Y15="location",VLOOKUP(Hypothèses!S15,'Annex machines &amp; travail'!$D$7:$L$256,IF(VLOOKUP($W$13,Q!$A$6:$B$7,2,FALSE)=2,4,5),FALSE)*X15,"")</f>
        <v/>
      </c>
    </row>
    <row r="16" spans="1:29" x14ac:dyDescent="0.25">
      <c r="A16" s="395" t="s">
        <v>239</v>
      </c>
      <c r="B16" s="395"/>
      <c r="C16" s="393" t="s">
        <v>138</v>
      </c>
      <c r="D16" s="393"/>
      <c r="E16" s="56" t="str">
        <f>IF(ISBLANK(A16),"",VLOOKUP(A16,'Annex machines &amp; travail'!$D$7:$E$255,2,0))</f>
        <v>ha</v>
      </c>
      <c r="F16" s="57">
        <v>3</v>
      </c>
      <c r="G16" s="58" t="s">
        <v>55</v>
      </c>
      <c r="H16" s="59">
        <f>IF(ISBLANK(A16),"",IF(VLOOKUP(C16,Q!$A$6:$B$7,2,FALSE)=2,IF(G16="propriété",(VLOOKUP(Hypothèses!A16,'Annex machines &amp; travail'!$D$7:$L$256,5,FALSE)+VLOOKUP(Hypothèses!A16,'Annex machines &amp; travail'!$D$7:$L$256,7,FALSE))*F16,IF(G16="par tiers",(VLOOKUP(Hypothèses!A16,'Annex machines &amp; travail'!$D$7:$L$256,9,FALSE))*F16,(VLOOKUP(Hypothèses!A16,'Annex machines &amp; travail'!$D$7:$L$256,8,FALSE)+VLOOKUP(A16,'Annex machines &amp; travail'!$D$7:$L$256,5,FALSE))*F16)),IF(G16="propriété",(VLOOKUP(Hypothèses!A16,'Annex machines &amp; travail'!$D$7:$L$256,6,FALSE)+VLOOKUP(Hypothèses!A16,'Annex machines &amp; travail'!$D$7:$L$256,7,FALSE))*F16,IF(G16="par tiers",(VLOOKUP(Hypothèses!A16,'Annex machines &amp; travail'!$D$7:$L$256,9,FALSE))*F16,(VLOOKUP(Hypothèses!A16,'Annex machines &amp; travail'!$D$7:$L$256,8,FALSE)+VLOOKUP(A16,'Annex machines &amp; travail'!$D$7:$L$256,6,FALSE))*F16))))</f>
        <v>162.09</v>
      </c>
      <c r="I16" s="53"/>
      <c r="J16" s="395" t="s">
        <v>225</v>
      </c>
      <c r="K16" s="395"/>
      <c r="L16" s="393" t="s">
        <v>138</v>
      </c>
      <c r="M16" s="393"/>
      <c r="N16" s="56" t="str">
        <f>IF(ISBLANK(J16),"",VLOOKUP(J16,'Annex machines &amp; travail'!$D$7:$E$255,2,0))</f>
        <v>ha</v>
      </c>
      <c r="O16" s="60">
        <v>2</v>
      </c>
      <c r="P16" s="58" t="s">
        <v>55</v>
      </c>
      <c r="Q16" s="59">
        <f>IF(ISBLANK(J16),"",IF(VLOOKUP(L16,Q!$A$6:$B$7,2,FALSE)=2,IF(P16="propriété",(VLOOKUP(Hypothèses!J16,'Annex machines &amp; travail'!$D$7:$L$256,5,FALSE)+VLOOKUP(Hypothèses!J16,'Annex machines &amp; travail'!$D$7:$L$256,7,FALSE))*O16,IF(P16="par tiers",(VLOOKUP(Hypothèses!J16,'Annex machines &amp; travail'!$D$7:$L$256,9,FALSE))*O16,(VLOOKUP(Hypothèses!J16,'Annex machines &amp; travail'!$D$7:$L$256,8,FALSE)+VLOOKUP(J16,'Annex machines &amp; travail'!$D$7:$L$256,5,FALSE))*O16)),IF(P16="propriété",(VLOOKUP(Hypothèses!J16,'Annex machines &amp; travail'!$D$7:$L$256,6,FALSE)+VLOOKUP(Hypothèses!J16,'Annex machines &amp; travail'!$D$7:$L$256,7,FALSE))*O16,IF(P16="par tiers",(VLOOKUP(Hypothèses!J16,'Annex machines &amp; travail'!$D$7:$L$256,9,FALSE))*O16,(VLOOKUP(Hypothèses!J16,'Annex machines &amp; travail'!$D$7:$L$256,8,FALSE)+VLOOKUP(J16,'Annex machines &amp; travail'!$D$7:$L$256,6,FALSE))*O16))))</f>
        <v>91.56</v>
      </c>
      <c r="R16" s="53"/>
      <c r="S16" s="395"/>
      <c r="T16" s="395"/>
      <c r="U16" s="393"/>
      <c r="V16" s="393"/>
      <c r="W16" s="56" t="str">
        <f>IF(ISBLANK(S16),"",VLOOKUP(S16,'Annex machines &amp; travail'!$D$7:$E$255,2,0))</f>
        <v/>
      </c>
      <c r="X16" s="60"/>
      <c r="Y16" s="58" t="s">
        <v>129</v>
      </c>
      <c r="Z16" s="59" t="str">
        <f>IF(ISBLANK(S16),"",IF(VLOOKUP(U16,Q!$A$6:$B$7,2,FALSE)=2,IF(Y16="propriété",(VLOOKUP(Hypothèses!S16,'Annex machines &amp; travail'!$D$7:$L$256,5,FALSE)+VLOOKUP(Hypothèses!S16,'Annex machines &amp; travail'!$D$7:$L$256,7,FALSE))*X16,IF(Y16="par tiers",(VLOOKUP(Hypothèses!S16,'Annex machines &amp; travail'!$D$7:$L$256,9,FALSE))*X16,(VLOOKUP(Hypothèses!S16,'Annex machines &amp; travail'!$D$7:$L$256,8,FALSE)+VLOOKUP(S16,'Annex machines &amp; travail'!$D$7:$L$256,5,FALSE))*X16)),IF(Y16="propriété",(VLOOKUP(Hypothèses!S16,'Annex machines &amp; travail'!$D$7:$L$256,6,FALSE)+VLOOKUP(Hypothèses!S16,'Annex machines &amp; travail'!$D$7:$L$256,7,FALSE))*X16,IF(Y16="par tiers",(VLOOKUP(Hypothèses!S16,'Annex machines &amp; travail'!$D$7:$L$256,9,FALSE))*X16,(VLOOKUP(Hypothèses!S16,'Annex machines &amp; travail'!$D$7:$L$256,8,FALSE)+VLOOKUP(S16,'Annex machines &amp; travail'!$D$7:$L$256,6,FALSE))*X16))))</f>
        <v/>
      </c>
      <c r="AA16" s="6" t="str">
        <f>IF(G16="location",VLOOKUP(Hypothèses!A16,'Annex machines &amp; travail'!$D$7:$L$256,IF(VLOOKUP($E$13,Q!$A$6:$B$7,2,FALSE)=2,4,5),FALSE)*F16,"")</f>
        <v/>
      </c>
      <c r="AB16" s="6" t="str">
        <f>IF(P16="location",VLOOKUP(Hypothèses!J16,'Annex machines &amp; travail'!$D$7:$L$256,IF(VLOOKUP($N$13,Q!$A$6:$B$7,2,FALSE)=2,4,5),FALSE)*O16,"")</f>
        <v/>
      </c>
      <c r="AC16" s="6" t="str">
        <f>IF(Y16="location",VLOOKUP(Hypothèses!S16,'Annex machines &amp; travail'!$D$7:$L$256,IF(VLOOKUP($W$13,Q!$A$6:$B$7,2,FALSE)=2,4,5),FALSE)*X16,"")</f>
        <v/>
      </c>
    </row>
    <row r="17" spans="1:29" x14ac:dyDescent="0.25">
      <c r="A17" s="395"/>
      <c r="B17" s="395"/>
      <c r="C17" s="393"/>
      <c r="D17" s="393"/>
      <c r="E17" s="56" t="str">
        <f>IF(ISBLANK(A17),"",VLOOKUP(A17,'Annex machines &amp; travail'!$D$7:$E$255,2,0))</f>
        <v/>
      </c>
      <c r="F17" s="57"/>
      <c r="G17" s="58"/>
      <c r="H17" s="59" t="str">
        <f>IF(ISBLANK(A17),"",IF(VLOOKUP(C17,Q!$A$6:$B$7,2,FALSE)=2,IF(G17="propriété",(VLOOKUP(Hypothèses!A17,'Annex machines &amp; travail'!$D$7:$L$256,5,FALSE)+VLOOKUP(Hypothèses!A17,'Annex machines &amp; travail'!$D$7:$L$256,7,FALSE))*F17,IF(G17="par tiers",(VLOOKUP(Hypothèses!A17,'Annex machines &amp; travail'!$D$7:$L$256,9,FALSE))*F17,(VLOOKUP(Hypothèses!A17,'Annex machines &amp; travail'!$D$7:$L$256,8,FALSE)+VLOOKUP(A17,'Annex machines &amp; travail'!$D$7:$L$256,5,FALSE))*F17)),IF(G17="propriété",(VLOOKUP(Hypothèses!A17,'Annex machines &amp; travail'!$D$7:$L$256,6,FALSE)+VLOOKUP(Hypothèses!A17,'Annex machines &amp; travail'!$D$7:$L$256,7,FALSE))*F17,IF(G17="par tiers",(VLOOKUP(Hypothèses!A17,'Annex machines &amp; travail'!$D$7:$L$256,9,FALSE))*F17,(VLOOKUP(Hypothèses!A17,'Annex machines &amp; travail'!$D$7:$L$256,8,FALSE)+VLOOKUP(A17,'Annex machines &amp; travail'!$D$7:$L$256,6,FALSE))*F17))))</f>
        <v/>
      </c>
      <c r="I17" s="53"/>
      <c r="J17" s="395"/>
      <c r="K17" s="395"/>
      <c r="L17" s="393"/>
      <c r="M17" s="393"/>
      <c r="N17" s="56" t="str">
        <f>IF(ISBLANK(J17),"",VLOOKUP(J17,'Annex machines &amp; travail'!$D$7:$E$255,2,0))</f>
        <v/>
      </c>
      <c r="O17" s="60"/>
      <c r="P17" s="58"/>
      <c r="Q17" s="59" t="str">
        <f>IF(ISBLANK(J17),"",IF(VLOOKUP(L17,Q!$A$6:$B$7,2,FALSE)=2,IF(P17="propriété",(VLOOKUP(Hypothèses!J17,'Annex machines &amp; travail'!$D$7:$L$256,5,FALSE)+VLOOKUP(Hypothèses!J17,'Annex machines &amp; travail'!$D$7:$L$256,7,FALSE))*O17,IF(P17="par tiers",(VLOOKUP(Hypothèses!J17,'Annex machines &amp; travail'!$D$7:$L$256,9,FALSE))*O17,(VLOOKUP(Hypothèses!J17,'Annex machines &amp; travail'!$D$7:$L$256,8,FALSE)+VLOOKUP(J17,'Annex machines &amp; travail'!$D$7:$L$256,5,FALSE))*O17)),IF(P17="propriété",(VLOOKUP(Hypothèses!J17,'Annex machines &amp; travail'!$D$7:$L$256,6,FALSE)+VLOOKUP(Hypothèses!J17,'Annex machines &amp; travail'!$D$7:$L$256,7,FALSE))*O17,IF(P17="par tiers",(VLOOKUP(Hypothèses!J17,'Annex machines &amp; travail'!$D$7:$L$256,9,FALSE))*O17,(VLOOKUP(Hypothèses!J17,'Annex machines &amp; travail'!$D$7:$L$256,8,FALSE)+VLOOKUP(J17,'Annex machines &amp; travail'!$D$7:$L$256,6,FALSE))*O17))))</f>
        <v/>
      </c>
      <c r="R17" s="53"/>
      <c r="S17" s="395"/>
      <c r="T17" s="395"/>
      <c r="U17" s="393"/>
      <c r="V17" s="393"/>
      <c r="W17" s="56" t="str">
        <f>IF(ISBLANK(S17),"",VLOOKUP(S17,'Annex machines &amp; travail'!$D$7:$E$255,2,0))</f>
        <v/>
      </c>
      <c r="X17" s="60"/>
      <c r="Y17" s="58" t="s">
        <v>129</v>
      </c>
      <c r="Z17" s="59" t="str">
        <f>IF(ISBLANK(S17),"",IF(VLOOKUP(U17,Q!$A$6:$B$7,2,FALSE)=2,IF(Y17="propriété",(VLOOKUP(Hypothèses!S17,'Annex machines &amp; travail'!$D$7:$L$256,5,FALSE)+VLOOKUP(Hypothèses!S17,'Annex machines &amp; travail'!$D$7:$L$256,7,FALSE))*X17,IF(Y17="par tiers",(VLOOKUP(Hypothèses!S17,'Annex machines &amp; travail'!$D$7:$L$256,9,FALSE))*X17,(VLOOKUP(Hypothèses!S17,'Annex machines &amp; travail'!$D$7:$L$256,8,FALSE)+VLOOKUP(S17,'Annex machines &amp; travail'!$D$7:$L$256,5,FALSE))*X17)),IF(Y17="propriété",(VLOOKUP(Hypothèses!S17,'Annex machines &amp; travail'!$D$7:$L$256,6,FALSE)+VLOOKUP(Hypothèses!S17,'Annex machines &amp; travail'!$D$7:$L$256,7,FALSE))*X17,IF(Y17="par tiers",(VLOOKUP(Hypothèses!S17,'Annex machines &amp; travail'!$D$7:$L$256,9,FALSE))*X17,(VLOOKUP(Hypothèses!S17,'Annex machines &amp; travail'!$D$7:$L$256,8,FALSE)+VLOOKUP(S17,'Annex machines &amp; travail'!$D$7:$L$256,6,FALSE))*X17))))</f>
        <v/>
      </c>
      <c r="AA17" s="6" t="str">
        <f>IF(G17="location",VLOOKUP(Hypothèses!A17,'Annex machines &amp; travail'!$D$7:$L$256,IF(VLOOKUP($E$13,Q!$A$6:$B$7,2,FALSE)=2,4,5),FALSE)*F17,"")</f>
        <v/>
      </c>
      <c r="AB17" s="6" t="str">
        <f>IF(P17="location",VLOOKUP(Hypothèses!J17,'Annex machines &amp; travail'!$D$7:$L$256,IF(VLOOKUP($N$13,Q!$A$6:$B$7,2,FALSE)=2,4,5),FALSE)*O17,"")</f>
        <v/>
      </c>
      <c r="AC17" s="6" t="str">
        <f>IF(Y17="location",VLOOKUP(Hypothèses!S17,'Annex machines &amp; travail'!$D$7:$L$256,IF(VLOOKUP($W$13,Q!$A$6:$B$7,2,FALSE)=2,4,5),FALSE)*X17,"")</f>
        <v/>
      </c>
    </row>
    <row r="18" spans="1:29" x14ac:dyDescent="0.25">
      <c r="A18" s="395"/>
      <c r="B18" s="395"/>
      <c r="C18" s="393"/>
      <c r="D18" s="393"/>
      <c r="E18" s="56" t="str">
        <f>IF(ISBLANK(A18),"",VLOOKUP(A18,'Annex machines &amp; travail'!$D$7:$E$255,2,0))</f>
        <v/>
      </c>
      <c r="F18" s="57"/>
      <c r="G18" s="58"/>
      <c r="H18" s="59" t="str">
        <f>IF(ISBLANK(A18),"",IF(VLOOKUP(C18,Q!$A$6:$B$7,2,FALSE)=2,IF(G18="propriété",(VLOOKUP(Hypothèses!A18,'Annex machines &amp; travail'!$D$7:$L$256,5,FALSE)+VLOOKUP(Hypothèses!A18,'Annex machines &amp; travail'!$D$7:$L$256,7,FALSE))*F18,IF(G18="par tiers",(VLOOKUP(Hypothèses!A18,'Annex machines &amp; travail'!$D$7:$L$256,9,FALSE))*F18,(VLOOKUP(Hypothèses!A18,'Annex machines &amp; travail'!$D$7:$L$256,8,FALSE)+VLOOKUP(A18,'Annex machines &amp; travail'!$D$7:$L$256,5,FALSE))*F18)),IF(G18="propriété",(VLOOKUP(Hypothèses!A18,'Annex machines &amp; travail'!$D$7:$L$256,6,FALSE)+VLOOKUP(Hypothèses!A18,'Annex machines &amp; travail'!$D$7:$L$256,7,FALSE))*F18,IF(G18="par tiers",(VLOOKUP(Hypothèses!A18,'Annex machines &amp; travail'!$D$7:$L$256,9,FALSE))*F18,(VLOOKUP(Hypothèses!A18,'Annex machines &amp; travail'!$D$7:$L$256,8,FALSE)+VLOOKUP(A18,'Annex machines &amp; travail'!$D$7:$L$256,6,FALSE))*F18))))</f>
        <v/>
      </c>
      <c r="I18" s="53"/>
      <c r="J18" s="395"/>
      <c r="K18" s="395"/>
      <c r="L18" s="393"/>
      <c r="M18" s="393"/>
      <c r="N18" s="56" t="str">
        <f>IF(ISBLANK(J18),"",VLOOKUP(J18,'Annex machines &amp; travail'!$D$7:$E$255,2,0))</f>
        <v/>
      </c>
      <c r="O18" s="60"/>
      <c r="P18" s="58" t="s">
        <v>129</v>
      </c>
      <c r="Q18" s="59" t="str">
        <f>IF(ISBLANK(J18),"",IF(VLOOKUP(L18,Q!$A$6:$B$7,2,FALSE)=2,IF(P18="propriété",(VLOOKUP(Hypothèses!J18,'Annex machines &amp; travail'!$D$7:$L$256,5,FALSE)+VLOOKUP(Hypothèses!J18,'Annex machines &amp; travail'!$D$7:$L$256,7,FALSE))*O18,IF(P18="par tiers",(VLOOKUP(Hypothèses!J18,'Annex machines &amp; travail'!$D$7:$L$256,9,FALSE))*O18,(VLOOKUP(Hypothèses!J18,'Annex machines &amp; travail'!$D$7:$L$256,8,FALSE)+VLOOKUP(J18,'Annex machines &amp; travail'!$D$7:$L$256,5,FALSE))*O18)),IF(P18="propriété",(VLOOKUP(Hypothèses!J18,'Annex machines &amp; travail'!$D$7:$L$256,6,FALSE)+VLOOKUP(Hypothèses!J18,'Annex machines &amp; travail'!$D$7:$L$256,7,FALSE))*O18,IF(P18="par tiers",(VLOOKUP(Hypothèses!J18,'Annex machines &amp; travail'!$D$7:$L$256,9,FALSE))*O18,(VLOOKUP(Hypothèses!J18,'Annex machines &amp; travail'!$D$7:$L$256,8,FALSE)+VLOOKUP(J18,'Annex machines &amp; travail'!$D$7:$L$256,6,FALSE))*O18))))</f>
        <v/>
      </c>
      <c r="R18" s="53"/>
      <c r="S18" s="395"/>
      <c r="T18" s="395"/>
      <c r="U18" s="393"/>
      <c r="V18" s="393"/>
      <c r="W18" s="56" t="str">
        <f>IF(ISBLANK(S18),"",VLOOKUP(S18,'Annex machines &amp; travail'!$D$7:$E$255,2,0))</f>
        <v/>
      </c>
      <c r="X18" s="60"/>
      <c r="Y18" s="58" t="s">
        <v>129</v>
      </c>
      <c r="Z18" s="59" t="str">
        <f>IF(ISBLANK(S18),"",IF(VLOOKUP(U18,Q!$A$6:$B$7,2,FALSE)=2,IF(Y18="propriété",(VLOOKUP(Hypothèses!S18,'Annex machines &amp; travail'!$D$7:$L$256,5,FALSE)+VLOOKUP(Hypothèses!S18,'Annex machines &amp; travail'!$D$7:$L$256,7,FALSE))*X18,IF(Y18="par tiers",(VLOOKUP(Hypothèses!S18,'Annex machines &amp; travail'!$D$7:$L$256,9,FALSE))*X18,(VLOOKUP(Hypothèses!S18,'Annex machines &amp; travail'!$D$7:$L$256,8,FALSE)+VLOOKUP(S18,'Annex machines &amp; travail'!$D$7:$L$256,5,FALSE))*X18)),IF(Y18="propriété",(VLOOKUP(Hypothèses!S18,'Annex machines &amp; travail'!$D$7:$L$256,6,FALSE)+VLOOKUP(Hypothèses!S18,'Annex machines &amp; travail'!$D$7:$L$256,7,FALSE))*X18,IF(Y18="par tiers",(VLOOKUP(Hypothèses!S18,'Annex machines &amp; travail'!$D$7:$L$256,9,FALSE))*X18,(VLOOKUP(Hypothèses!S18,'Annex machines &amp; travail'!$D$7:$L$256,8,FALSE)+VLOOKUP(S18,'Annex machines &amp; travail'!$D$7:$L$256,6,FALSE))*X18))))</f>
        <v/>
      </c>
      <c r="AA18" s="6" t="str">
        <f>IF(G18="location",VLOOKUP(Hypothèses!A18,'Annex machines &amp; travail'!$D$7:$L$256,IF(VLOOKUP($E$13,Q!$A$6:$B$7,2,FALSE)=2,4,5),FALSE)*F18,"")</f>
        <v/>
      </c>
      <c r="AB18" s="6" t="str">
        <f>IF(P18="location",VLOOKUP(Hypothèses!J18,'Annex machines &amp; travail'!$D$7:$L$256,IF(VLOOKUP($N$13,Q!$A$6:$B$7,2,FALSE)=2,4,5),FALSE)*O18,"")</f>
        <v/>
      </c>
      <c r="AC18" s="6" t="str">
        <f>IF(Y18="location",VLOOKUP(Hypothèses!S18,'Annex machines &amp; travail'!$D$7:$L$256,IF(VLOOKUP($W$13,Q!$A$6:$B$7,2,FALSE)=2,4,5),FALSE)*X18,"")</f>
        <v/>
      </c>
    </row>
    <row r="19" spans="1:29" x14ac:dyDescent="0.25">
      <c r="A19" s="397"/>
      <c r="B19" s="397"/>
      <c r="C19" s="394"/>
      <c r="D19" s="394"/>
      <c r="E19" s="56" t="str">
        <f>IF(ISBLANK(A19),"",VLOOKUP(A19,'Annex machines &amp; travail'!$D$7:$E$255,2,0))</f>
        <v/>
      </c>
      <c r="F19" s="61"/>
      <c r="G19" s="58"/>
      <c r="H19" s="59" t="str">
        <f>IF(ISBLANK(A19),"",IF(VLOOKUP(C19,Q!$A$6:$B$7,2,FALSE)=2,IF(G19="propriété",(VLOOKUP(Hypothèses!A19,'Annex machines &amp; travail'!$D$7:$L$256,5,FALSE)+VLOOKUP(Hypothèses!A19,'Annex machines &amp; travail'!$D$7:$L$256,7,FALSE))*F19,IF(G19="par tiers",(VLOOKUP(Hypothèses!A19,'Annex machines &amp; travail'!$D$7:$L$256,9,FALSE))*F19,(VLOOKUP(Hypothèses!A19,'Annex machines &amp; travail'!$D$7:$L$256,8,FALSE)+VLOOKUP(A19,'Annex machines &amp; travail'!$D$7:$L$256,5,FALSE))*F19)),IF(G19="propriété",(VLOOKUP(Hypothèses!A19,'Annex machines &amp; travail'!$D$7:$L$256,6,FALSE)+VLOOKUP(Hypothèses!A19,'Annex machines &amp; travail'!$D$7:$L$256,7,FALSE))*F19,IF(G19="par tiers",(VLOOKUP(Hypothèses!A19,'Annex machines &amp; travail'!$D$7:$L$256,9,FALSE))*F19,(VLOOKUP(Hypothèses!A19,'Annex machines &amp; travail'!$D$7:$L$256,8,FALSE)+VLOOKUP(A19,'Annex machines &amp; travail'!$D$7:$L$256,6,FALSE))*F19))))</f>
        <v/>
      </c>
      <c r="I19" s="53"/>
      <c r="J19" s="397"/>
      <c r="K19" s="397"/>
      <c r="L19" s="394"/>
      <c r="M19" s="394"/>
      <c r="N19" s="56" t="str">
        <f>IF(ISBLANK(J19),"",VLOOKUP(J19,'Annex machines &amp; travail'!$D$7:$E$255,2,0))</f>
        <v/>
      </c>
      <c r="O19" s="62"/>
      <c r="P19" s="58" t="s">
        <v>129</v>
      </c>
      <c r="Q19" s="59" t="str">
        <f>IF(ISBLANK(J19),"",IF(VLOOKUP(L19,Q!$A$6:$B$7,2,FALSE)=2,IF(P19="propriété",(VLOOKUP(Hypothèses!J19,'Annex machines &amp; travail'!$D$7:$L$256,5,FALSE)+VLOOKUP(Hypothèses!J19,'Annex machines &amp; travail'!$D$7:$L$256,7,FALSE))*O19,IF(P19="par tiers",(VLOOKUP(Hypothèses!J19,'Annex machines &amp; travail'!$D$7:$L$256,9,FALSE))*O19,(VLOOKUP(Hypothèses!J19,'Annex machines &amp; travail'!$D$7:$L$256,8,FALSE)+VLOOKUP(J19,'Annex machines &amp; travail'!$D$7:$L$256,5,FALSE))*O19)),IF(P19="propriété",(VLOOKUP(Hypothèses!J19,'Annex machines &amp; travail'!$D$7:$L$256,6,FALSE)+VLOOKUP(Hypothèses!J19,'Annex machines &amp; travail'!$D$7:$L$256,7,FALSE))*O19,IF(P19="par tiers",(VLOOKUP(Hypothèses!J19,'Annex machines &amp; travail'!$D$7:$L$256,9,FALSE))*O19,(VLOOKUP(Hypothèses!J19,'Annex machines &amp; travail'!$D$7:$L$256,8,FALSE)+VLOOKUP(J19,'Annex machines &amp; travail'!$D$7:$L$256,6,FALSE))*O19))))</f>
        <v/>
      </c>
      <c r="R19" s="53"/>
      <c r="S19" s="397"/>
      <c r="T19" s="397"/>
      <c r="U19" s="394"/>
      <c r="V19" s="394"/>
      <c r="W19" s="56" t="str">
        <f>IF(ISBLANK(S19),"",VLOOKUP(S19,'Annex machines &amp; travail'!$D$7:$E$255,2,0))</f>
        <v/>
      </c>
      <c r="X19" s="62"/>
      <c r="Y19" s="58" t="s">
        <v>129</v>
      </c>
      <c r="Z19" s="59" t="str">
        <f>IF(ISBLANK(S19),"",IF(VLOOKUP(U19,Q!$A$6:$B$7,2,FALSE)=2,IF(Y19="propriété",(VLOOKUP(Hypothèses!S19,'Annex machines &amp; travail'!$D$7:$L$256,5,FALSE)+VLOOKUP(Hypothèses!S19,'Annex machines &amp; travail'!$D$7:$L$256,7,FALSE))*X19,IF(Y19="par tiers",(VLOOKUP(Hypothèses!S19,'Annex machines &amp; travail'!$D$7:$L$256,9,FALSE))*X19,(VLOOKUP(Hypothèses!S19,'Annex machines &amp; travail'!$D$7:$L$256,8,FALSE)+VLOOKUP(S19,'Annex machines &amp; travail'!$D$7:$L$256,5,FALSE))*X19)),IF(Y19="propriété",(VLOOKUP(Hypothèses!S19,'Annex machines &amp; travail'!$D$7:$L$256,6,FALSE)+VLOOKUP(Hypothèses!S19,'Annex machines &amp; travail'!$D$7:$L$256,7,FALSE))*X19,IF(Y19="par tiers",(VLOOKUP(Hypothèses!S19,'Annex machines &amp; travail'!$D$7:$L$256,9,FALSE))*X19,(VLOOKUP(Hypothèses!S19,'Annex machines &amp; travail'!$D$7:$L$256,8,FALSE)+VLOOKUP(S19,'Annex machines &amp; travail'!$D$7:$L$256,6,FALSE))*X19))))</f>
        <v/>
      </c>
      <c r="AA19" s="6" t="str">
        <f>IF(G19="location",VLOOKUP(Hypothèses!A19,'Annex machines &amp; travail'!$D$7:$L$256,IF(VLOOKUP($E$13,Q!$A$6:$B$7,2,FALSE)=2,4,5),FALSE)*F19,"")</f>
        <v/>
      </c>
      <c r="AB19" s="6" t="str">
        <f>IF(P19="location",VLOOKUP(Hypothèses!J19,'Annex machines &amp; travail'!$D$7:$L$256,IF(VLOOKUP($N$13,Q!$A$6:$B$7,2,FALSE)=2,4,5),FALSE)*O19,"")</f>
        <v/>
      </c>
      <c r="AC19" s="6" t="str">
        <f>IF(Y19="location",VLOOKUP(Hypothèses!S19,'Annex machines &amp; travail'!$D$7:$L$256,IF(VLOOKUP($W$13,Q!$A$6:$B$7,2,FALSE)=2,4,5),FALSE)*X19,"")</f>
        <v/>
      </c>
    </row>
    <row r="20" spans="1:29" ht="3.75" customHeight="1" x14ac:dyDescent="0.25">
      <c r="A20" s="30"/>
      <c r="B20" s="30"/>
      <c r="C20" s="30"/>
      <c r="D20" s="30"/>
      <c r="E20" s="30"/>
      <c r="F20" s="30"/>
      <c r="G20" s="30"/>
      <c r="H20" s="33"/>
      <c r="I20" s="34"/>
      <c r="J20" s="30"/>
      <c r="K20" s="30"/>
      <c r="L20" s="30"/>
      <c r="M20" s="30"/>
      <c r="N20" s="30"/>
      <c r="O20" s="30"/>
      <c r="P20" s="30"/>
      <c r="Q20" s="33"/>
      <c r="R20" s="34"/>
      <c r="S20" s="30"/>
      <c r="T20" s="30"/>
      <c r="U20" s="30"/>
      <c r="V20" s="30"/>
      <c r="W20" s="30"/>
      <c r="X20" s="30"/>
      <c r="Y20" s="30"/>
      <c r="Z20" s="33"/>
    </row>
    <row r="21" spans="1:29" x14ac:dyDescent="0.25">
      <c r="A21" s="50" t="s">
        <v>64</v>
      </c>
      <c r="B21" s="50"/>
      <c r="C21" s="50"/>
      <c r="D21" s="50"/>
      <c r="E21" s="50"/>
      <c r="F21" s="50"/>
      <c r="G21" s="50"/>
      <c r="H21" s="63"/>
      <c r="I21" s="53"/>
      <c r="J21" s="50" t="s">
        <v>64</v>
      </c>
      <c r="K21" s="50"/>
      <c r="L21" s="50"/>
      <c r="M21" s="50"/>
      <c r="N21" s="50"/>
      <c r="O21" s="50"/>
      <c r="P21" s="50"/>
      <c r="Q21" s="63"/>
      <c r="R21" s="53"/>
      <c r="S21" s="50" t="s">
        <v>64</v>
      </c>
      <c r="T21" s="50"/>
      <c r="U21" s="50"/>
      <c r="V21" s="50"/>
      <c r="W21" s="50"/>
      <c r="X21" s="50"/>
      <c r="Y21" s="50"/>
      <c r="Z21" s="63"/>
      <c r="AA21" s="6"/>
      <c r="AB21" s="6"/>
      <c r="AC21" s="6"/>
    </row>
    <row r="22" spans="1:29" ht="3.95" customHeight="1" x14ac:dyDescent="0.25">
      <c r="A22" s="30"/>
      <c r="B22" s="30"/>
      <c r="C22" s="30"/>
      <c r="D22" s="30"/>
      <c r="E22" s="46"/>
      <c r="F22" s="46"/>
      <c r="G22" s="47"/>
      <c r="H22" s="59"/>
      <c r="I22" s="53"/>
      <c r="J22" s="55"/>
      <c r="K22" s="30"/>
      <c r="L22" s="30"/>
      <c r="M22" s="30"/>
      <c r="N22" s="46"/>
      <c r="O22" s="46"/>
      <c r="P22" s="47"/>
      <c r="Q22" s="59"/>
      <c r="R22" s="53"/>
      <c r="S22" s="55"/>
      <c r="T22" s="30"/>
      <c r="U22" s="30"/>
      <c r="V22" s="30"/>
      <c r="W22" s="46"/>
      <c r="X22" s="46"/>
      <c r="Y22" s="47"/>
      <c r="Z22" s="59"/>
      <c r="AA22" s="31"/>
      <c r="AB22" s="32"/>
      <c r="AC22" s="32"/>
    </row>
    <row r="23" spans="1:29" x14ac:dyDescent="0.25">
      <c r="A23" s="395" t="s">
        <v>319</v>
      </c>
      <c r="B23" s="395"/>
      <c r="C23" s="393" t="s">
        <v>138</v>
      </c>
      <c r="D23" s="393"/>
      <c r="E23" s="56" t="str">
        <f>IF(ISBLANK(A23),"",VLOOKUP(A23,'Annex machines &amp; travail'!$D$7:$E$255,2,0))</f>
        <v>ha</v>
      </c>
      <c r="F23" s="57">
        <v>1</v>
      </c>
      <c r="G23" s="58" t="s">
        <v>54</v>
      </c>
      <c r="H23" s="59">
        <f>IF(ISBLANK(A23),"",IF(VLOOKUP(C23,Q!$A$6:$B$7,2,FALSE)=2,IF(G23="propriété",(VLOOKUP(Hypothèses!A23,'Annex machines &amp; travail'!$D$7:$L$256,5,FALSE)+VLOOKUP(Hypothèses!A23,'Annex machines &amp; travail'!$D$7:$L$256,7,FALSE))*F23,IF(G23="par tiers",(VLOOKUP(Hypothèses!A23,'Annex machines &amp; travail'!$D$7:$L$256,9,FALSE))*F23,(VLOOKUP(Hypothèses!A23,'Annex machines &amp; travail'!$D$7:$L$256,8,FALSE)+VLOOKUP(A23,'Annex machines &amp; travail'!$D$7:$L$256,5,FALSE))*F23)),IF(G23="propriété",(VLOOKUP(Hypothèses!A23,'Annex machines &amp; travail'!$D$7:$L$256,6,FALSE)+VLOOKUP(Hypothèses!A23,'Annex machines &amp; travail'!$D$7:$L$256,7,FALSE))*F23,IF(G23="par tiers",(VLOOKUP(Hypothèses!A23,'Annex machines &amp; travail'!$D$7:$L$256,9,FALSE))*F23,(VLOOKUP(Hypothèses!A23,'Annex machines &amp; travail'!$D$7:$L$256,8,FALSE)+VLOOKUP(A23,'Annex machines &amp; travail'!$D$7:$L$256,6,FALSE))*F23))))</f>
        <v>440</v>
      </c>
      <c r="I23" s="53"/>
      <c r="J23" s="395" t="s">
        <v>319</v>
      </c>
      <c r="K23" s="395"/>
      <c r="L23" s="393" t="s">
        <v>138</v>
      </c>
      <c r="M23" s="393"/>
      <c r="N23" s="56" t="str">
        <f>IF(ISBLANK(J23),"",VLOOKUP(J23,'Annex machines &amp; travail'!$D$7:$E$255,2,0))</f>
        <v>ha</v>
      </c>
      <c r="O23" s="60">
        <v>1</v>
      </c>
      <c r="P23" s="58" t="s">
        <v>54</v>
      </c>
      <c r="Q23" s="59">
        <f>IF(ISBLANK(J23),"",IF(VLOOKUP(L23,Q!$A$6:$B$7,2,FALSE)=2,IF(P23="propriété",(VLOOKUP(Hypothèses!J23,'Annex machines &amp; travail'!$D$7:$L$256,5,FALSE)+VLOOKUP(Hypothèses!J23,'Annex machines &amp; travail'!$D$7:$L$256,7,FALSE))*O23,IF(P23="par tiers",(VLOOKUP(Hypothèses!J23,'Annex machines &amp; travail'!$D$7:$L$256,9,FALSE))*O23,(VLOOKUP(Hypothèses!J23,'Annex machines &amp; travail'!$D$7:$L$256,8,FALSE)+VLOOKUP(J23,'Annex machines &amp; travail'!$D$7:$L$256,5,FALSE))*O23)),IF(P23="propriété",(VLOOKUP(Hypothèses!J23,'Annex machines &amp; travail'!$D$7:$L$256,6,FALSE)+VLOOKUP(Hypothèses!J23,'Annex machines &amp; travail'!$D$7:$L$256,7,FALSE))*O23,IF(P23="par tiers",(VLOOKUP(Hypothèses!J23,'Annex machines &amp; travail'!$D$7:$L$256,9,FALSE))*O23,(VLOOKUP(Hypothèses!J23,'Annex machines &amp; travail'!$D$7:$L$256,8,FALSE)+VLOOKUP(J23,'Annex machines &amp; travail'!$D$7:$L$256,6,FALSE))*O23))))</f>
        <v>440</v>
      </c>
      <c r="R23" s="53"/>
      <c r="S23" s="395" t="s">
        <v>319</v>
      </c>
      <c r="T23" s="395"/>
      <c r="U23" s="393" t="s">
        <v>138</v>
      </c>
      <c r="V23" s="393"/>
      <c r="W23" s="56" t="str">
        <f>IF(ISBLANK(S23),"",VLOOKUP(S23,'Annex machines &amp; travail'!$D$7:$E$255,2,0))</f>
        <v>ha</v>
      </c>
      <c r="X23" s="60">
        <v>1</v>
      </c>
      <c r="Y23" s="58" t="s">
        <v>54</v>
      </c>
      <c r="Z23" s="59">
        <f>IF(ISBLANK(S23),"",IF(VLOOKUP(U23,Q!$A$6:$B$7,2,FALSE)=2,IF(Y23="propriété",(VLOOKUP(Hypothèses!S23,'Annex machines &amp; travail'!$D$7:$L$256,5,FALSE)+VLOOKUP(Hypothèses!S23,'Annex machines &amp; travail'!$D$7:$L$256,7,FALSE))*X23,IF(Y23="par tiers",(VLOOKUP(Hypothèses!S23,'Annex machines &amp; travail'!$D$7:$L$256,9,FALSE))*X23,(VLOOKUP(Hypothèses!S23,'Annex machines &amp; travail'!$D$7:$L$256,8,FALSE)+VLOOKUP(S23,'Annex machines &amp; travail'!$D$7:$L$256,5,FALSE))*X23)),IF(Y23="propriété",(VLOOKUP(Hypothèses!S23,'Annex machines &amp; travail'!$D$7:$L$256,6,FALSE)+VLOOKUP(Hypothèses!S23,'Annex machines &amp; travail'!$D$7:$L$256,7,FALSE))*X23,IF(Y23="par tiers",(VLOOKUP(Hypothèses!S23,'Annex machines &amp; travail'!$D$7:$L$256,9,FALSE))*X23,(VLOOKUP(Hypothèses!S23,'Annex machines &amp; travail'!$D$7:$L$256,8,FALSE)+VLOOKUP(S23,'Annex machines &amp; travail'!$D$7:$L$256,6,FALSE))*X23))))</f>
        <v>440</v>
      </c>
      <c r="AA23" s="6" t="str">
        <f>IF(G23="location",VLOOKUP(Hypothèses!A23,'Annex machines &amp; travail'!$D$7:$L$256,4,FALSE)*F23,"")</f>
        <v/>
      </c>
      <c r="AB23" s="6" t="str">
        <f>IF(P23="location",VLOOKUP(Hypothèses!J23,'Annex machines &amp; travail'!$D$7:$L$256,4,FALSE)*O23,"")</f>
        <v/>
      </c>
      <c r="AC23" s="6" t="str">
        <f>IF(Y23="location",VLOOKUP(Hypothèses!S23,'Annex machines &amp; travail'!$D$7:$L$256,4,FALSE)*X23,"")</f>
        <v/>
      </c>
    </row>
    <row r="24" spans="1:29" x14ac:dyDescent="0.25">
      <c r="A24" s="395" t="s">
        <v>306</v>
      </c>
      <c r="B24" s="395"/>
      <c r="C24" s="393" t="s">
        <v>138</v>
      </c>
      <c r="D24" s="393"/>
      <c r="E24" s="56" t="str">
        <f>IF(ISBLANK(A24),"",VLOOKUP(A24,'Annex machines &amp; travail'!$D$7:$E$255,2,0))</f>
        <v>vo</v>
      </c>
      <c r="F24" s="57">
        <v>1</v>
      </c>
      <c r="G24" s="58" t="s">
        <v>55</v>
      </c>
      <c r="H24" s="59">
        <f>IF(ISBLANK(A24),"",IF(VLOOKUP(C24,Q!$A$6:$B$7,2,FALSE)=2,IF(G24="propriété",(VLOOKUP(Hypothèses!A24,'Annex machines &amp; travail'!$D$7:$L$256,5,FALSE)+VLOOKUP(Hypothèses!A24,'Annex machines &amp; travail'!$D$7:$L$256,7,FALSE))*F24,IF(G24="par tiers",(VLOOKUP(Hypothèses!A24,'Annex machines &amp; travail'!$D$7:$L$256,9,FALSE))*F24,(VLOOKUP(Hypothèses!A24,'Annex machines &amp; travail'!$D$7:$L$256,8,FALSE)+VLOOKUP(A24,'Annex machines &amp; travail'!$D$7:$L$256,5,FALSE))*F24)),IF(G24="propriété",(VLOOKUP(Hypothèses!A24,'Annex machines &amp; travail'!$D$7:$L$256,6,FALSE)+VLOOKUP(Hypothèses!A24,'Annex machines &amp; travail'!$D$7:$L$256,7,FALSE))*F24,IF(G24="par tiers",(VLOOKUP(Hypothèses!A24,'Annex machines &amp; travail'!$D$7:$L$256,9,FALSE))*F24,(VLOOKUP(Hypothèses!A24,'Annex machines &amp; travail'!$D$7:$L$256,8,FALSE)+VLOOKUP(A24,'Annex machines &amp; travail'!$D$7:$L$256,6,FALSE))*F24))))</f>
        <v>24.47</v>
      </c>
      <c r="I24" s="53"/>
      <c r="J24" s="395" t="s">
        <v>306</v>
      </c>
      <c r="K24" s="395"/>
      <c r="L24" s="393" t="s">
        <v>138</v>
      </c>
      <c r="M24" s="393"/>
      <c r="N24" s="56" t="str">
        <f>IF(ISBLANK(J24),"",VLOOKUP(J24,'Annex machines &amp; travail'!$D$7:$E$255,2,0))</f>
        <v>vo</v>
      </c>
      <c r="O24" s="60">
        <v>1</v>
      </c>
      <c r="P24" s="58" t="s">
        <v>55</v>
      </c>
      <c r="Q24" s="59">
        <f>IF(ISBLANK(J24),"",IF(VLOOKUP(L24,Q!$A$6:$B$7,2,FALSE)=2,IF(P24="propriété",(VLOOKUP(Hypothèses!J24,'Annex machines &amp; travail'!$D$7:$L$256,5,FALSE)+VLOOKUP(Hypothèses!J24,'Annex machines &amp; travail'!$D$7:$L$256,7,FALSE))*O24,IF(P24="par tiers",(VLOOKUP(Hypothèses!J24,'Annex machines &amp; travail'!$D$7:$L$256,9,FALSE))*O24,(VLOOKUP(Hypothèses!J24,'Annex machines &amp; travail'!$D$7:$L$256,8,FALSE)+VLOOKUP(J24,'Annex machines &amp; travail'!$D$7:$L$256,5,FALSE))*O24)),IF(P24="propriété",(VLOOKUP(Hypothèses!J24,'Annex machines &amp; travail'!$D$7:$L$256,6,FALSE)+VLOOKUP(Hypothèses!J24,'Annex machines &amp; travail'!$D$7:$L$256,7,FALSE))*O24,IF(P24="par tiers",(VLOOKUP(Hypothèses!J24,'Annex machines &amp; travail'!$D$7:$L$256,9,FALSE))*O24,(VLOOKUP(Hypothèses!J24,'Annex machines &amp; travail'!$D$7:$L$256,8,FALSE)+VLOOKUP(J24,'Annex machines &amp; travail'!$D$7:$L$256,6,FALSE))*O24))))</f>
        <v>24.47</v>
      </c>
      <c r="R24" s="53"/>
      <c r="S24" s="395" t="s">
        <v>306</v>
      </c>
      <c r="T24" s="395"/>
      <c r="U24" s="393" t="s">
        <v>138</v>
      </c>
      <c r="V24" s="393"/>
      <c r="W24" s="56" t="str">
        <f>IF(ISBLANK(S24),"",VLOOKUP(S24,'Annex machines &amp; travail'!$D$7:$E$255,2,0))</f>
        <v>vo</v>
      </c>
      <c r="X24" s="60">
        <v>1</v>
      </c>
      <c r="Y24" s="58" t="s">
        <v>55</v>
      </c>
      <c r="Z24" s="59">
        <f>IF(ISBLANK(S24),"",IF(VLOOKUP(U24,Q!$A$6:$B$7,2,FALSE)=2,IF(Y24="propriété",(VLOOKUP(Hypothèses!S24,'Annex machines &amp; travail'!$D$7:$L$256,5,FALSE)+VLOOKUP(Hypothèses!S24,'Annex machines &amp; travail'!$D$7:$L$256,7,FALSE))*X24,IF(Y24="par tiers",(VLOOKUP(Hypothèses!S24,'Annex machines &amp; travail'!$D$7:$L$256,9,FALSE))*X24,(VLOOKUP(Hypothèses!S24,'Annex machines &amp; travail'!$D$7:$L$256,8,FALSE)+VLOOKUP(S24,'Annex machines &amp; travail'!$D$7:$L$256,5,FALSE))*X24)),IF(Y24="propriété",(VLOOKUP(Hypothèses!S24,'Annex machines &amp; travail'!$D$7:$L$256,6,FALSE)+VLOOKUP(Hypothèses!S24,'Annex machines &amp; travail'!$D$7:$L$256,7,FALSE))*X24,IF(Y24="par tiers",(VLOOKUP(Hypothèses!S24,'Annex machines &amp; travail'!$D$7:$L$256,9,FALSE))*X24,(VLOOKUP(Hypothèses!S24,'Annex machines &amp; travail'!$D$7:$L$256,8,FALSE)+VLOOKUP(S24,'Annex machines &amp; travail'!$D$7:$L$256,6,FALSE))*X24))))</f>
        <v>24.47</v>
      </c>
      <c r="AA24" s="6" t="str">
        <f>IF(G24="location",VLOOKUP(Hypothèses!A24,'Annex machines &amp; travail'!$D$7:$L$256,4,FALSE)*F24,"")</f>
        <v/>
      </c>
      <c r="AB24" s="6" t="str">
        <f>IF(P24="location",VLOOKUP(Hypothèses!J24,'Annex machines &amp; travail'!$D$7:$L$256,4,FALSE)*O24,"")</f>
        <v/>
      </c>
      <c r="AC24" s="6" t="str">
        <f>IF(Y24="location",VLOOKUP(Hypothèses!S24,'Annex machines &amp; travail'!$D$7:$L$256,4,FALSE)*X24,"")</f>
        <v/>
      </c>
    </row>
    <row r="25" spans="1:29" x14ac:dyDescent="0.25">
      <c r="A25" s="395"/>
      <c r="B25" s="395"/>
      <c r="C25" s="393"/>
      <c r="D25" s="393"/>
      <c r="E25" s="56" t="str">
        <f>IF(ISBLANK(A25),"",VLOOKUP(A25,'Annex machines &amp; travail'!$D$7:$E$255,2,0))</f>
        <v/>
      </c>
      <c r="F25" s="57"/>
      <c r="G25" s="58" t="s">
        <v>129</v>
      </c>
      <c r="H25" s="59" t="str">
        <f>IF(ISBLANK(A25),"",IF(VLOOKUP(C25,Q!$A$6:$B$7,2,FALSE)=2,IF(G25="propriété",(VLOOKUP(Hypothèses!A25,'Annex machines &amp; travail'!$D$7:$L$256,5,FALSE)+VLOOKUP(Hypothèses!A25,'Annex machines &amp; travail'!$D$7:$L$256,7,FALSE))*F25,IF(G25="par tiers",(VLOOKUP(Hypothèses!A25,'Annex machines &amp; travail'!$D$7:$L$256,9,FALSE))*F25,(VLOOKUP(Hypothèses!A25,'Annex machines &amp; travail'!$D$7:$L$256,8,FALSE)+VLOOKUP(A25,'Annex machines &amp; travail'!$D$7:$L$256,5,FALSE))*F25)),IF(G25="propriété",(VLOOKUP(Hypothèses!A25,'Annex machines &amp; travail'!$D$7:$L$256,6,FALSE)+VLOOKUP(Hypothèses!A25,'Annex machines &amp; travail'!$D$7:$L$256,7,FALSE))*F25,IF(G25="par tiers",(VLOOKUP(Hypothèses!A25,'Annex machines &amp; travail'!$D$7:$L$256,9,FALSE))*F25,(VLOOKUP(Hypothèses!A25,'Annex machines &amp; travail'!$D$7:$L$256,8,FALSE)+VLOOKUP(A25,'Annex machines &amp; travail'!$D$7:$L$256,6,FALSE))*F25))))</f>
        <v/>
      </c>
      <c r="I25" s="53"/>
      <c r="J25" s="395"/>
      <c r="K25" s="395"/>
      <c r="L25" s="393"/>
      <c r="M25" s="393"/>
      <c r="N25" s="56" t="str">
        <f>IF(ISBLANK(J25),"",VLOOKUP(J25,'Annex machines &amp; travail'!$D$7:$E$255,2,0))</f>
        <v/>
      </c>
      <c r="O25" s="60"/>
      <c r="P25" s="58" t="s">
        <v>129</v>
      </c>
      <c r="Q25" s="59" t="str">
        <f>IF(ISBLANK(J25),"",IF(VLOOKUP(L25,Q!$A$6:$B$7,2,FALSE)=2,IF(P25="propriété",(VLOOKUP(Hypothèses!J25,'Annex machines &amp; travail'!$D$7:$L$256,5,FALSE)+VLOOKUP(Hypothèses!J25,'Annex machines &amp; travail'!$D$7:$L$256,7,FALSE))*O25,IF(P25="par tiers",(VLOOKUP(Hypothèses!J25,'Annex machines &amp; travail'!$D$7:$L$256,9,FALSE))*O25,(VLOOKUP(Hypothèses!J25,'Annex machines &amp; travail'!$D$7:$L$256,8,FALSE)+VLOOKUP(J25,'Annex machines &amp; travail'!$D$7:$L$256,5,FALSE))*O25)),IF(P25="propriété",(VLOOKUP(Hypothèses!J25,'Annex machines &amp; travail'!$D$7:$L$256,6,FALSE)+VLOOKUP(Hypothèses!J25,'Annex machines &amp; travail'!$D$7:$L$256,7,FALSE))*O25,IF(P25="par tiers",(VLOOKUP(Hypothèses!J25,'Annex machines &amp; travail'!$D$7:$L$256,9,FALSE))*O25,(VLOOKUP(Hypothèses!J25,'Annex machines &amp; travail'!$D$7:$L$256,8,FALSE)+VLOOKUP(J25,'Annex machines &amp; travail'!$D$7:$L$256,6,FALSE))*O25))))</f>
        <v/>
      </c>
      <c r="R25" s="53"/>
      <c r="S25" s="395"/>
      <c r="T25" s="395"/>
      <c r="U25" s="393"/>
      <c r="V25" s="393"/>
      <c r="W25" s="56" t="str">
        <f>IF(ISBLANK(S25),"",VLOOKUP(S25,'Annex machines &amp; travail'!$D$7:$E$255,2,0))</f>
        <v/>
      </c>
      <c r="X25" s="60"/>
      <c r="Y25" s="58" t="s">
        <v>129</v>
      </c>
      <c r="Z25" s="59" t="str">
        <f>IF(ISBLANK(S25),"",IF(VLOOKUP(U25,Q!$A$6:$B$7,2,FALSE)=2,IF(Y25="propriété",(VLOOKUP(Hypothèses!S25,'Annex machines &amp; travail'!$D$7:$L$256,5,FALSE)+VLOOKUP(Hypothèses!S25,'Annex machines &amp; travail'!$D$7:$L$256,7,FALSE))*X25,IF(Y25="par tiers",(VLOOKUP(Hypothèses!S25,'Annex machines &amp; travail'!$D$7:$L$256,9,FALSE))*X25,(VLOOKUP(Hypothèses!S25,'Annex machines &amp; travail'!$D$7:$L$256,8,FALSE)+VLOOKUP(S25,'Annex machines &amp; travail'!$D$7:$L$256,5,FALSE))*X25)),IF(Y25="propriété",(VLOOKUP(Hypothèses!S25,'Annex machines &amp; travail'!$D$7:$L$256,6,FALSE)+VLOOKUP(Hypothèses!S25,'Annex machines &amp; travail'!$D$7:$L$256,7,FALSE))*X25,IF(Y25="par tiers",(VLOOKUP(Hypothèses!S25,'Annex machines &amp; travail'!$D$7:$L$256,9,FALSE))*X25,(VLOOKUP(Hypothèses!S25,'Annex machines &amp; travail'!$D$7:$L$256,8,FALSE)+VLOOKUP(S25,'Annex machines &amp; travail'!$D$7:$L$256,6,FALSE))*X25))))</f>
        <v/>
      </c>
      <c r="AA25" s="6" t="str">
        <f>IF(G25="location",VLOOKUP(Hypothèses!A25,'Annex machines &amp; travail'!$D$7:$L$256,4,FALSE)*F25,"")</f>
        <v/>
      </c>
      <c r="AB25" s="6" t="str">
        <f>IF(P25="location",VLOOKUP(Hypothèses!J25,'Annex machines &amp; travail'!$D$7:$L$256,4,FALSE)*O25,"")</f>
        <v/>
      </c>
      <c r="AC25" s="6" t="str">
        <f>IF(Y25="location",VLOOKUP(Hypothèses!S25,'Annex machines &amp; travail'!$D$7:$L$256,4,FALSE)*X25,"")</f>
        <v/>
      </c>
    </row>
    <row r="26" spans="1:29" x14ac:dyDescent="0.25">
      <c r="A26" s="395"/>
      <c r="B26" s="395"/>
      <c r="C26" s="393"/>
      <c r="D26" s="393"/>
      <c r="E26" s="56" t="str">
        <f>IF(ISBLANK(A26),"",VLOOKUP(A26,'Annex machines &amp; travail'!$D$7:$E$255,2,0))</f>
        <v/>
      </c>
      <c r="F26" s="57"/>
      <c r="G26" s="58" t="s">
        <v>129</v>
      </c>
      <c r="H26" s="59" t="str">
        <f>IF(ISBLANK(A26),"",IF(VLOOKUP(C26,Q!$A$6:$B$7,2,FALSE)=2,IF(G26="propriété",(VLOOKUP(Hypothèses!A26,'Annex machines &amp; travail'!$D$7:$L$256,5,FALSE)+VLOOKUP(Hypothèses!A26,'Annex machines &amp; travail'!$D$7:$L$256,7,FALSE))*F26,IF(G26="par tiers",(VLOOKUP(Hypothèses!A26,'Annex machines &amp; travail'!$D$7:$L$256,9,FALSE))*F26,(VLOOKUP(Hypothèses!A26,'Annex machines &amp; travail'!$D$7:$L$256,8,FALSE)+VLOOKUP(A26,'Annex machines &amp; travail'!$D$7:$L$256,5,FALSE))*F26)),IF(G26="propriété",(VLOOKUP(Hypothèses!A26,'Annex machines &amp; travail'!$D$7:$L$256,6,FALSE)+VLOOKUP(Hypothèses!A26,'Annex machines &amp; travail'!$D$7:$L$256,7,FALSE))*F26,IF(G26="par tiers",(VLOOKUP(Hypothèses!A26,'Annex machines &amp; travail'!$D$7:$L$256,9,FALSE))*F26,(VLOOKUP(Hypothèses!A26,'Annex machines &amp; travail'!$D$7:$L$256,8,FALSE)+VLOOKUP(A26,'Annex machines &amp; travail'!$D$7:$L$256,6,FALSE))*F26))))</f>
        <v/>
      </c>
      <c r="I26" s="53"/>
      <c r="J26" s="395"/>
      <c r="K26" s="395"/>
      <c r="L26" s="393"/>
      <c r="M26" s="393"/>
      <c r="N26" s="56" t="str">
        <f>IF(ISBLANK(J26),"",VLOOKUP(J26,'Annex machines &amp; travail'!$D$7:$E$255,2,0))</f>
        <v/>
      </c>
      <c r="O26" s="60"/>
      <c r="P26" s="58" t="s">
        <v>129</v>
      </c>
      <c r="Q26" s="59" t="str">
        <f>IF(ISBLANK(J26),"",IF(VLOOKUP(L26,Q!$A$6:$B$7,2,FALSE)=2,IF(P26="propriété",(VLOOKUP(Hypothèses!J26,'Annex machines &amp; travail'!$D$7:$L$256,5,FALSE)+VLOOKUP(Hypothèses!J26,'Annex machines &amp; travail'!$D$7:$L$256,7,FALSE))*O26,IF(P26="par tiers",(VLOOKUP(Hypothèses!J26,'Annex machines &amp; travail'!$D$7:$L$256,9,FALSE))*O26,(VLOOKUP(Hypothèses!J26,'Annex machines &amp; travail'!$D$7:$L$256,8,FALSE)+VLOOKUP(J26,'Annex machines &amp; travail'!$D$7:$L$256,5,FALSE))*O26)),IF(P26="propriété",(VLOOKUP(Hypothèses!J26,'Annex machines &amp; travail'!$D$7:$L$256,6,FALSE)+VLOOKUP(Hypothèses!J26,'Annex machines &amp; travail'!$D$7:$L$256,7,FALSE))*O26,IF(P26="par tiers",(VLOOKUP(Hypothèses!J26,'Annex machines &amp; travail'!$D$7:$L$256,9,FALSE))*O26,(VLOOKUP(Hypothèses!J26,'Annex machines &amp; travail'!$D$7:$L$256,8,FALSE)+VLOOKUP(J26,'Annex machines &amp; travail'!$D$7:$L$256,6,FALSE))*O26))))</f>
        <v/>
      </c>
      <c r="R26" s="53"/>
      <c r="S26" s="395"/>
      <c r="T26" s="395"/>
      <c r="U26" s="393"/>
      <c r="V26" s="393"/>
      <c r="W26" s="56" t="str">
        <f>IF(ISBLANK(S26),"",VLOOKUP(S26,'Annex machines &amp; travail'!$D$7:$E$255,2,0))</f>
        <v/>
      </c>
      <c r="X26" s="60"/>
      <c r="Y26" s="58" t="s">
        <v>129</v>
      </c>
      <c r="Z26" s="59" t="str">
        <f>IF(ISBLANK(S26),"",IF(VLOOKUP(U26,Q!$A$6:$B$7,2,FALSE)=2,IF(Y26="propriété",(VLOOKUP(Hypothèses!S26,'Annex machines &amp; travail'!$D$7:$L$256,5,FALSE)+VLOOKUP(Hypothèses!S26,'Annex machines &amp; travail'!$D$7:$L$256,7,FALSE))*X26,IF(Y26="par tiers",(VLOOKUP(Hypothèses!S26,'Annex machines &amp; travail'!$D$7:$L$256,9,FALSE))*X26,(VLOOKUP(Hypothèses!S26,'Annex machines &amp; travail'!$D$7:$L$256,8,FALSE)+VLOOKUP(S26,'Annex machines &amp; travail'!$D$7:$L$256,5,FALSE))*X26)),IF(Y26="propriété",(VLOOKUP(Hypothèses!S26,'Annex machines &amp; travail'!$D$7:$L$256,6,FALSE)+VLOOKUP(Hypothèses!S26,'Annex machines &amp; travail'!$D$7:$L$256,7,FALSE))*X26,IF(Y26="par tiers",(VLOOKUP(Hypothèses!S26,'Annex machines &amp; travail'!$D$7:$L$256,9,FALSE))*X26,(VLOOKUP(Hypothèses!S26,'Annex machines &amp; travail'!$D$7:$L$256,8,FALSE)+VLOOKUP(S26,'Annex machines &amp; travail'!$D$7:$L$256,6,FALSE))*X26))))</f>
        <v/>
      </c>
      <c r="AA26" s="6" t="str">
        <f>IF(G26="location",VLOOKUP(Hypothèses!A26,'Annex machines &amp; travail'!$D$7:$L$256,4,FALSE)*F26,"")</f>
        <v/>
      </c>
      <c r="AB26" s="6" t="str">
        <f>IF(P26="location",VLOOKUP(Hypothèses!J26,'Annex machines &amp; travail'!$D$7:$L$256,4,FALSE)*O26,"")</f>
        <v/>
      </c>
      <c r="AC26" s="6" t="str">
        <f>IF(Y26="location",VLOOKUP(Hypothèses!S26,'Annex machines &amp; travail'!$D$7:$L$256,4,FALSE)*X26,"")</f>
        <v/>
      </c>
    </row>
    <row r="27" spans="1:29" ht="15.75" thickBot="1" x14ac:dyDescent="0.3">
      <c r="A27" s="397"/>
      <c r="B27" s="397"/>
      <c r="C27" s="394"/>
      <c r="D27" s="394"/>
      <c r="E27" s="56" t="str">
        <f>IF(ISBLANK(A27),"",VLOOKUP(A27,'Annex machines &amp; travail'!$D$7:$E$255,2,0))</f>
        <v/>
      </c>
      <c r="F27" s="61"/>
      <c r="G27" s="58" t="s">
        <v>129</v>
      </c>
      <c r="H27" s="59" t="str">
        <f>IF(ISBLANK(A27),"",IF(VLOOKUP(C27,Q!$A$6:$B$7,2,FALSE)=2,IF(G27="propriété",(VLOOKUP(Hypothèses!A27,'Annex machines &amp; travail'!$D$7:$L$256,5,FALSE)+VLOOKUP(Hypothèses!A27,'Annex machines &amp; travail'!$D$7:$L$256,7,FALSE))*F27,IF(G27="par tiers",(VLOOKUP(Hypothèses!A27,'Annex machines &amp; travail'!$D$7:$L$256,9,FALSE))*F27,(VLOOKUP(Hypothèses!A27,'Annex machines &amp; travail'!$D$7:$L$256,8,FALSE)+VLOOKUP(A27,'Annex machines &amp; travail'!$D$7:$L$256,5,FALSE))*F27)),IF(G27="propriété",(VLOOKUP(Hypothèses!A27,'Annex machines &amp; travail'!$D$7:$L$256,6,FALSE)+VLOOKUP(Hypothèses!A27,'Annex machines &amp; travail'!$D$7:$L$256,7,FALSE))*F27,IF(G27="par tiers",(VLOOKUP(Hypothèses!A27,'Annex machines &amp; travail'!$D$7:$L$256,9,FALSE))*F27,(VLOOKUP(Hypothèses!A27,'Annex machines &amp; travail'!$D$7:$L$256,8,FALSE)+VLOOKUP(A27,'Annex machines &amp; travail'!$D$7:$L$256,6,FALSE))*F27))))</f>
        <v/>
      </c>
      <c r="I27" s="53"/>
      <c r="J27" s="397"/>
      <c r="K27" s="397"/>
      <c r="L27" s="394"/>
      <c r="M27" s="394"/>
      <c r="N27" s="56" t="str">
        <f>IF(ISBLANK(J27),"",VLOOKUP(J27,'Annex machines &amp; travail'!$D$7:$E$255,2,0))</f>
        <v/>
      </c>
      <c r="O27" s="62"/>
      <c r="P27" s="58" t="s">
        <v>129</v>
      </c>
      <c r="Q27" s="59" t="str">
        <f>IF(ISBLANK(J27),"",IF(VLOOKUP(L27,Q!$A$6:$B$7,2,FALSE)=2,IF(P27="propriété",(VLOOKUP(Hypothèses!J27,'Annex machines &amp; travail'!$D$7:$L$256,5,FALSE)+VLOOKUP(Hypothèses!J27,'Annex machines &amp; travail'!$D$7:$L$256,7,FALSE))*O27,IF(P27="par tiers",(VLOOKUP(Hypothèses!J27,'Annex machines &amp; travail'!$D$7:$L$256,9,FALSE))*O27,(VLOOKUP(Hypothèses!J27,'Annex machines &amp; travail'!$D$7:$L$256,8,FALSE)+VLOOKUP(J27,'Annex machines &amp; travail'!$D$7:$L$256,5,FALSE))*O27)),IF(P27="propriété",(VLOOKUP(Hypothèses!J27,'Annex machines &amp; travail'!$D$7:$L$256,6,FALSE)+VLOOKUP(Hypothèses!J27,'Annex machines &amp; travail'!$D$7:$L$256,7,FALSE))*O27,IF(P27="par tiers",(VLOOKUP(Hypothèses!J27,'Annex machines &amp; travail'!$D$7:$L$256,9,FALSE))*O27,(VLOOKUP(Hypothèses!J27,'Annex machines &amp; travail'!$D$7:$L$256,8,FALSE)+VLOOKUP(J27,'Annex machines &amp; travail'!$D$7:$L$256,6,FALSE))*O27))))</f>
        <v/>
      </c>
      <c r="R27" s="53"/>
      <c r="S27" s="397"/>
      <c r="T27" s="397"/>
      <c r="U27" s="394"/>
      <c r="V27" s="394"/>
      <c r="W27" s="56" t="str">
        <f>IF(ISBLANK(S27),"",VLOOKUP(S27,'Annex machines &amp; travail'!$D$7:$E$255,2,0))</f>
        <v/>
      </c>
      <c r="X27" s="62"/>
      <c r="Y27" s="58" t="s">
        <v>129</v>
      </c>
      <c r="Z27" s="59" t="str">
        <f>IF(ISBLANK(S27),"",IF(VLOOKUP(U27,Q!$A$6:$B$7,2,FALSE)=2,IF(Y27="propriété",(VLOOKUP(Hypothèses!S27,'Annex machines &amp; travail'!$D$7:$L$256,5,FALSE)+VLOOKUP(Hypothèses!S27,'Annex machines &amp; travail'!$D$7:$L$256,7,FALSE))*X27,IF(Y27="par tiers",(VLOOKUP(Hypothèses!S27,'Annex machines &amp; travail'!$D$7:$L$256,9,FALSE))*X27,(VLOOKUP(Hypothèses!S27,'Annex machines &amp; travail'!$D$7:$L$256,8,FALSE)+VLOOKUP(S27,'Annex machines &amp; travail'!$D$7:$L$256,5,FALSE))*X27)),IF(Y27="propriété",(VLOOKUP(Hypothèses!S27,'Annex machines &amp; travail'!$D$7:$L$256,6,FALSE)+VLOOKUP(Hypothèses!S27,'Annex machines &amp; travail'!$D$7:$L$256,7,FALSE))*X27,IF(Y27="par tiers",(VLOOKUP(Hypothèses!S27,'Annex machines &amp; travail'!$D$7:$L$256,9,FALSE))*X27,(VLOOKUP(Hypothèses!S27,'Annex machines &amp; travail'!$D$7:$L$256,8,FALSE)+VLOOKUP(S27,'Annex machines &amp; travail'!$D$7:$L$256,6,FALSE))*X27))))</f>
        <v/>
      </c>
      <c r="AA27" s="7" t="str">
        <f>IF(G27="location",VLOOKUP(Hypothèses!A27,'Annex machines &amp; travail'!$D$7:$L$256,4,FALSE)*F27,"")</f>
        <v/>
      </c>
      <c r="AB27" s="8" t="str">
        <f>IF(P27="location",VLOOKUP(Hypothèses!J27,'Annex machines &amp; travail'!$D$7:$L$256,4,FALSE)*O27,"")</f>
        <v/>
      </c>
      <c r="AC27" s="8" t="str">
        <f>IF(Y27="location",VLOOKUP(Hypothèses!S27,'Annex machines &amp; travail'!$D$7:$L$256,4,FALSE)*X27,"")</f>
        <v/>
      </c>
    </row>
    <row r="28" spans="1:29" ht="15.75" thickTop="1" x14ac:dyDescent="0.25">
      <c r="A28" s="65" t="s">
        <v>127</v>
      </c>
      <c r="B28" s="55"/>
      <c r="C28" s="55"/>
      <c r="D28" s="55"/>
      <c r="E28" s="46"/>
      <c r="F28" s="66"/>
      <c r="G28" s="46"/>
      <c r="H28" s="67">
        <f>IF(SUMIFS(H7:H27,G7:G27,"location")=0,"",SUMIFS(H7:H27,G7:G27,"location"))</f>
        <v>108.27959999999999</v>
      </c>
      <c r="I28" s="68"/>
      <c r="J28" s="65" t="s">
        <v>127</v>
      </c>
      <c r="K28" s="55"/>
      <c r="L28" s="55"/>
      <c r="M28" s="55"/>
      <c r="N28" s="46"/>
      <c r="O28" s="56"/>
      <c r="P28" s="56"/>
      <c r="Q28" s="67">
        <f>IF((SUMIFS(Q7:Q27,P7:P27,"location"))=0,"",SUMIFS(Q7:Q27,P7:P27,"location"))</f>
        <v>168.07589999999999</v>
      </c>
      <c r="R28" s="68"/>
      <c r="S28" s="65" t="s">
        <v>127</v>
      </c>
      <c r="T28" s="55"/>
      <c r="U28" s="55"/>
      <c r="V28" s="55"/>
      <c r="W28" s="46"/>
      <c r="X28" s="56"/>
      <c r="Y28" s="56"/>
      <c r="Z28" s="67">
        <f>IF((SUMIFS(Z7:Z27,Y7:Y27,"location"))=0,"",SUMIFS(Z7:Z27,Y7:Y27,"location"))</f>
        <v>156.95519999999999</v>
      </c>
      <c r="AA28" s="9" t="e">
        <f t="shared" ref="AA28:AC28" si="0">SUM(AA7:AA27)</f>
        <v>#N/A</v>
      </c>
      <c r="AB28" s="9" t="e">
        <f t="shared" si="0"/>
        <v>#N/A</v>
      </c>
      <c r="AC28" s="9" t="e">
        <f t="shared" si="0"/>
        <v>#N/A</v>
      </c>
    </row>
    <row r="29" spans="1:29" x14ac:dyDescent="0.25">
      <c r="A29" s="65" t="s">
        <v>128</v>
      </c>
      <c r="B29" s="55"/>
      <c r="C29" s="55"/>
      <c r="D29" s="55"/>
      <c r="E29" s="46"/>
      <c r="F29" s="66"/>
      <c r="G29" s="46"/>
      <c r="H29" s="67">
        <f>IF((SUMIFS(H7:H27,G7:G27,"par tiers"))=0,"",SUMIFS(H7:H27,G7:G27,"par tiers"))</f>
        <v>570</v>
      </c>
      <c r="I29" s="68"/>
      <c r="J29" s="65" t="s">
        <v>128</v>
      </c>
      <c r="K29" s="55"/>
      <c r="L29" s="55"/>
      <c r="M29" s="55"/>
      <c r="N29" s="46"/>
      <c r="O29" s="56"/>
      <c r="P29" s="56"/>
      <c r="Q29" s="67">
        <f>IF((SUMIFS(Q7:Q27,P7:P27,"par tiers"))=0,"",SUMIFS(Q7:Q27,P7:P27,"par tiers"))</f>
        <v>570</v>
      </c>
      <c r="R29" s="68"/>
      <c r="S29" s="65" t="s">
        <v>128</v>
      </c>
      <c r="T29" s="55"/>
      <c r="U29" s="55"/>
      <c r="V29" s="55"/>
      <c r="W29" s="46"/>
      <c r="X29" s="56"/>
      <c r="Y29" s="56"/>
      <c r="Z29" s="67">
        <f>IF((SUMIFS(Z7:Z27,Y7:Y27,"par tiers"))=0,"",SUMIFS(Z7:Z27,Y7:Y27,"par tiers"))</f>
        <v>440</v>
      </c>
    </row>
    <row r="30" spans="1:29" x14ac:dyDescent="0.25">
      <c r="A30" s="65" t="s">
        <v>270</v>
      </c>
      <c r="B30" s="55"/>
      <c r="C30" s="55"/>
      <c r="D30" s="55"/>
      <c r="E30" s="46"/>
      <c r="F30" s="66"/>
      <c r="G30" s="46"/>
      <c r="H30" s="67">
        <f>IF((SUMIFS(H7:H27,G7:G27,"propriété"))=0,"",SUMIFS(H7:H27,G7:G27,"propriété"))</f>
        <v>221.70230000000001</v>
      </c>
      <c r="I30" s="68"/>
      <c r="J30" s="65" t="s">
        <v>270</v>
      </c>
      <c r="K30" s="55"/>
      <c r="L30" s="55"/>
      <c r="M30" s="55"/>
      <c r="N30" s="46"/>
      <c r="O30" s="56"/>
      <c r="P30" s="56"/>
      <c r="Q30" s="67">
        <f>IF((SUMIFS(Q7:Q27,P7:P27,"propriété"))=0,"",SUMIFS(Q7:Q27,P7:P27,"propriété"))</f>
        <v>125.57599999999999</v>
      </c>
      <c r="R30" s="68"/>
      <c r="S30" s="65" t="s">
        <v>270</v>
      </c>
      <c r="T30" s="55"/>
      <c r="U30" s="55"/>
      <c r="V30" s="55"/>
      <c r="W30" s="46"/>
      <c r="X30" s="56"/>
      <c r="Y30" s="56"/>
      <c r="Z30" s="67">
        <f>IF((SUMIFS(Z7:Z27,Y7:Y27,"propriété"))=0,"",SUMIFS(Z7:Z27,Y7:Y27,"propriété"))</f>
        <v>175.28888571428573</v>
      </c>
    </row>
    <row r="31" spans="1:29" x14ac:dyDescent="0.25">
      <c r="A31" s="69" t="s">
        <v>66</v>
      </c>
      <c r="B31" s="70"/>
      <c r="C31" s="70"/>
      <c r="D31" s="70"/>
      <c r="E31" s="71"/>
      <c r="F31" s="72"/>
      <c r="G31" s="72"/>
      <c r="H31" s="73">
        <f>SUM(H28:H30)</f>
        <v>899.9819</v>
      </c>
      <c r="I31" s="74"/>
      <c r="J31" s="69" t="s">
        <v>66</v>
      </c>
      <c r="K31" s="70"/>
      <c r="L31" s="70"/>
      <c r="M31" s="70"/>
      <c r="N31" s="71"/>
      <c r="O31" s="72"/>
      <c r="P31" s="72"/>
      <c r="Q31" s="73">
        <f>SUM(Q28:Q30)</f>
        <v>863.65190000000007</v>
      </c>
      <c r="R31" s="74"/>
      <c r="S31" s="69" t="s">
        <v>66</v>
      </c>
      <c r="T31" s="70"/>
      <c r="U31" s="70"/>
      <c r="V31" s="70"/>
      <c r="W31" s="71"/>
      <c r="X31" s="72"/>
      <c r="Y31" s="72"/>
      <c r="Z31" s="73">
        <f>SUM(Z28:Z30)</f>
        <v>772.24408571428569</v>
      </c>
    </row>
    <row r="32" spans="1:29" ht="4.1500000000000004" customHeight="1" x14ac:dyDescent="0.25">
      <c r="A32" s="35"/>
      <c r="B32" s="36"/>
      <c r="C32" s="36"/>
      <c r="D32" s="36"/>
      <c r="E32" s="37"/>
      <c r="F32" s="38"/>
      <c r="G32" s="38"/>
      <c r="H32" s="39"/>
      <c r="I32" s="38"/>
      <c r="J32" s="35"/>
      <c r="K32" s="36"/>
      <c r="L32" s="36"/>
      <c r="M32" s="36"/>
      <c r="N32" s="37"/>
      <c r="O32" s="38"/>
      <c r="P32" s="38"/>
      <c r="Q32" s="39"/>
      <c r="R32" s="38"/>
      <c r="S32" s="35"/>
      <c r="T32" s="36"/>
      <c r="U32" s="36"/>
      <c r="V32" s="36"/>
      <c r="W32" s="37"/>
      <c r="X32" s="38"/>
      <c r="Y32" s="38"/>
      <c r="Z32" s="39"/>
    </row>
    <row r="33" spans="1:29" x14ac:dyDescent="0.25">
      <c r="A33" s="50" t="s">
        <v>69</v>
      </c>
      <c r="B33" s="50"/>
      <c r="C33" s="50"/>
      <c r="D33" s="50"/>
      <c r="E33" s="50"/>
      <c r="F33" s="50"/>
      <c r="G33" s="50"/>
      <c r="H33" s="63"/>
      <c r="I33" s="74"/>
      <c r="J33" s="50"/>
      <c r="K33" s="50"/>
      <c r="L33" s="50"/>
      <c r="M33" s="50"/>
      <c r="N33" s="50"/>
      <c r="O33" s="50"/>
      <c r="P33" s="50"/>
      <c r="Q33" s="63"/>
      <c r="R33" s="74"/>
      <c r="S33" s="50"/>
      <c r="T33" s="50"/>
      <c r="U33" s="50"/>
      <c r="V33" s="50"/>
      <c r="W33" s="50"/>
      <c r="X33" s="50"/>
      <c r="Y33" s="50"/>
      <c r="Z33" s="63"/>
      <c r="AA33" s="6"/>
      <c r="AB33" s="6"/>
      <c r="AC33" s="6"/>
    </row>
    <row r="34" spans="1:29" x14ac:dyDescent="0.25">
      <c r="A34" s="55"/>
      <c r="B34" s="55"/>
      <c r="C34" s="55"/>
      <c r="D34" s="55"/>
      <c r="E34" s="46" t="s">
        <v>142</v>
      </c>
      <c r="F34" s="46" t="s">
        <v>125</v>
      </c>
      <c r="G34" s="47" t="s">
        <v>118</v>
      </c>
      <c r="H34" s="59"/>
      <c r="I34" s="53"/>
      <c r="J34" s="55"/>
      <c r="K34" s="55"/>
      <c r="L34" s="55"/>
      <c r="M34" s="55"/>
      <c r="N34" s="46" t="s">
        <v>62</v>
      </c>
      <c r="O34" s="46" t="s">
        <v>125</v>
      </c>
      <c r="P34" s="47" t="s">
        <v>118</v>
      </c>
      <c r="Q34" s="59"/>
      <c r="R34" s="53"/>
      <c r="S34" s="55"/>
      <c r="T34" s="55"/>
      <c r="U34" s="55"/>
      <c r="V34" s="55"/>
      <c r="W34" s="46" t="s">
        <v>62</v>
      </c>
      <c r="X34" s="46" t="s">
        <v>125</v>
      </c>
      <c r="Y34" s="47" t="s">
        <v>118</v>
      </c>
      <c r="Z34" s="59"/>
      <c r="AA34" s="6"/>
      <c r="AB34" s="6"/>
      <c r="AC34" s="6"/>
    </row>
    <row r="35" spans="1:29" x14ac:dyDescent="0.25">
      <c r="A35" s="398" t="s">
        <v>126</v>
      </c>
      <c r="B35" s="398"/>
      <c r="C35" s="75"/>
      <c r="D35" s="75"/>
      <c r="E35" s="76" t="s">
        <v>14</v>
      </c>
      <c r="F35" s="76">
        <v>40</v>
      </c>
      <c r="G35" s="85">
        <v>28</v>
      </c>
      <c r="H35" s="59">
        <f>IF(OR(F35=0,G35=0),"",F35*G35)</f>
        <v>1120</v>
      </c>
      <c r="I35" s="53"/>
      <c r="J35" s="398" t="s">
        <v>126</v>
      </c>
      <c r="K35" s="398"/>
      <c r="L35" s="75"/>
      <c r="M35" s="75"/>
      <c r="N35" s="76" t="s">
        <v>14</v>
      </c>
      <c r="O35" s="76">
        <v>10</v>
      </c>
      <c r="P35" s="85">
        <v>28</v>
      </c>
      <c r="Q35" s="59">
        <f>IF(OR(O35=0,P35=0),"",O35*P35)</f>
        <v>280</v>
      </c>
      <c r="R35" s="53"/>
      <c r="S35" s="398" t="s">
        <v>126</v>
      </c>
      <c r="T35" s="398"/>
      <c r="U35" s="75"/>
      <c r="V35" s="75"/>
      <c r="W35" s="76" t="s">
        <v>14</v>
      </c>
      <c r="X35" s="76">
        <v>5</v>
      </c>
      <c r="Y35" s="85">
        <v>28</v>
      </c>
      <c r="Z35" s="59">
        <f>IF(OR(X35=0,Y35=0),"",X35*Y35)</f>
        <v>140</v>
      </c>
      <c r="AA35" s="6"/>
      <c r="AB35" s="6"/>
      <c r="AC35" s="6"/>
    </row>
    <row r="36" spans="1:29" x14ac:dyDescent="0.25">
      <c r="A36" s="398"/>
      <c r="B36" s="398"/>
      <c r="C36" s="75"/>
      <c r="D36" s="75"/>
      <c r="E36" s="76"/>
      <c r="F36" s="76"/>
      <c r="G36" s="77"/>
      <c r="H36" s="59" t="str">
        <f>IF(OR(F36=0,G36=0),"",F36*G36)</f>
        <v/>
      </c>
      <c r="I36" s="53"/>
      <c r="J36" s="398"/>
      <c r="K36" s="398"/>
      <c r="L36" s="75"/>
      <c r="M36" s="75"/>
      <c r="N36" s="76"/>
      <c r="O36" s="76"/>
      <c r="P36" s="77"/>
      <c r="Q36" s="59" t="str">
        <f>IF(OR(O36=0,P36=0),"",O36*P36)</f>
        <v/>
      </c>
      <c r="R36" s="53"/>
      <c r="S36" s="398"/>
      <c r="T36" s="398"/>
      <c r="U36" s="75"/>
      <c r="V36" s="75"/>
      <c r="W36" s="76"/>
      <c r="X36" s="76"/>
      <c r="Y36" s="77"/>
      <c r="Z36" s="59" t="str">
        <f>IF(OR(X36=0,Y36=0),"",X36*Y36)</f>
        <v/>
      </c>
      <c r="AA36" s="6"/>
      <c r="AB36" s="6"/>
      <c r="AC36" s="6"/>
    </row>
    <row r="37" spans="1:29" x14ac:dyDescent="0.25">
      <c r="A37" s="69" t="s">
        <v>70</v>
      </c>
      <c r="B37" s="70"/>
      <c r="C37" s="70"/>
      <c r="D37" s="70"/>
      <c r="E37" s="71"/>
      <c r="F37" s="72"/>
      <c r="G37" s="72"/>
      <c r="H37" s="73">
        <f>SUM(H35:H36)</f>
        <v>1120</v>
      </c>
      <c r="I37" s="74"/>
      <c r="J37" s="69" t="s">
        <v>70</v>
      </c>
      <c r="K37" s="70"/>
      <c r="L37" s="70"/>
      <c r="M37" s="70"/>
      <c r="N37" s="71"/>
      <c r="O37" s="72"/>
      <c r="P37" s="72"/>
      <c r="Q37" s="73">
        <f>SUM(Q35:Q36)</f>
        <v>280</v>
      </c>
      <c r="R37" s="74"/>
      <c r="S37" s="69" t="s">
        <v>70</v>
      </c>
      <c r="T37" s="70"/>
      <c r="U37" s="70"/>
      <c r="V37" s="70"/>
      <c r="W37" s="71"/>
      <c r="X37" s="72"/>
      <c r="Y37" s="72"/>
      <c r="Z37" s="73">
        <f>SUM(Z35:Z36)</f>
        <v>140</v>
      </c>
    </row>
    <row r="38" spans="1:29" ht="4.1500000000000004" customHeight="1" x14ac:dyDescent="0.25">
      <c r="A38" s="28"/>
      <c r="B38" s="28"/>
      <c r="C38" s="28"/>
      <c r="D38" s="28"/>
      <c r="E38" s="30"/>
      <c r="F38" s="29"/>
      <c r="G38" s="29"/>
      <c r="H38" s="40"/>
      <c r="I38" s="29"/>
      <c r="J38" s="28"/>
      <c r="K38" s="28"/>
      <c r="L38" s="28"/>
      <c r="M38" s="28"/>
      <c r="N38" s="30"/>
      <c r="O38" s="29"/>
      <c r="P38" s="29"/>
      <c r="Q38" s="40"/>
      <c r="R38" s="29"/>
      <c r="S38" s="28"/>
      <c r="T38" s="28"/>
      <c r="U38" s="28"/>
      <c r="V38" s="28"/>
      <c r="W38" s="30"/>
      <c r="X38" s="29"/>
      <c r="Y38" s="29"/>
      <c r="Z38" s="40"/>
    </row>
    <row r="39" spans="1:29" s="84" customFormat="1" ht="15.75" x14ac:dyDescent="0.25">
      <c r="A39" s="78" t="s">
        <v>71</v>
      </c>
      <c r="B39" s="79"/>
      <c r="C39" s="79"/>
      <c r="D39" s="79">
        <f>(Hypothèses!O35*Hypothèses!P35+Hypothèses!O36*Hypothèses!P36)/SUM(Hypothèses!O35:O36)</f>
        <v>28</v>
      </c>
      <c r="E39" s="80"/>
      <c r="F39" s="81"/>
      <c r="G39" s="81"/>
      <c r="H39" s="82">
        <f>H37+H31</f>
        <v>2019.9819</v>
      </c>
      <c r="I39" s="83"/>
      <c r="J39" s="78" t="s">
        <v>71</v>
      </c>
      <c r="K39" s="79"/>
      <c r="L39" s="79"/>
      <c r="M39" s="79"/>
      <c r="N39" s="80"/>
      <c r="O39" s="81"/>
      <c r="P39" s="81"/>
      <c r="Q39" s="82">
        <f>Q37+Q31</f>
        <v>1143.6519000000001</v>
      </c>
      <c r="R39" s="83"/>
      <c r="S39" s="78" t="s">
        <v>71</v>
      </c>
      <c r="T39" s="79"/>
      <c r="U39" s="79"/>
      <c r="V39" s="79"/>
      <c r="W39" s="80"/>
      <c r="X39" s="81"/>
      <c r="Y39" s="81"/>
      <c r="Z39" s="82">
        <f>Z37+Z31</f>
        <v>912.24408571428569</v>
      </c>
    </row>
    <row r="40" spans="1:29" x14ac:dyDescent="0.25">
      <c r="A40" s="30"/>
      <c r="B40" s="30"/>
      <c r="C40" s="30"/>
      <c r="D40" s="30"/>
      <c r="E40" s="30"/>
      <c r="F40" s="30"/>
      <c r="G40" s="30"/>
      <c r="H40" s="30"/>
      <c r="I40" s="34"/>
      <c r="J40" s="30"/>
      <c r="K40" s="30"/>
      <c r="L40" s="30"/>
      <c r="M40" s="30"/>
      <c r="N40" s="30"/>
      <c r="O40" s="30"/>
      <c r="P40" s="30"/>
      <c r="Q40" s="30"/>
      <c r="R40" s="34"/>
      <c r="S40" s="30"/>
      <c r="T40" s="30"/>
      <c r="U40" s="30"/>
      <c r="V40" s="30"/>
      <c r="W40" s="30"/>
      <c r="X40" s="30"/>
      <c r="Y40" s="30"/>
      <c r="Z40" s="30"/>
    </row>
    <row r="41" spans="1:29" x14ac:dyDescent="0.25">
      <c r="A41" s="30"/>
      <c r="B41" s="30"/>
      <c r="C41" s="30"/>
      <c r="D41" s="30"/>
      <c r="E41" s="30"/>
      <c r="F41" s="30"/>
      <c r="G41" s="30"/>
      <c r="H41" s="30"/>
      <c r="I41" s="34"/>
      <c r="J41" s="30"/>
      <c r="K41" s="30"/>
      <c r="L41" s="30"/>
      <c r="M41" s="30"/>
      <c r="N41" s="30"/>
      <c r="O41" s="30"/>
      <c r="P41" s="30"/>
      <c r="Q41" s="30"/>
      <c r="R41" s="34"/>
      <c r="S41" s="30"/>
      <c r="T41" s="30"/>
      <c r="U41" s="30"/>
      <c r="V41" s="30"/>
      <c r="W41" s="30"/>
      <c r="X41" s="30"/>
      <c r="Y41" s="30"/>
      <c r="Z41" s="30"/>
    </row>
    <row r="44" spans="1:29" x14ac:dyDescent="0.25">
      <c r="H44" s="42"/>
      <c r="I44" s="43"/>
      <c r="R44" s="43"/>
    </row>
  </sheetData>
  <sheetProtection sheet="1" objects="1" scenarios="1"/>
  <mergeCells count="99">
    <mergeCell ref="J19:K19"/>
    <mergeCell ref="S19:T19"/>
    <mergeCell ref="A23:B23"/>
    <mergeCell ref="A15:B15"/>
    <mergeCell ref="J15:K15"/>
    <mergeCell ref="S15:T15"/>
    <mergeCell ref="A16:B16"/>
    <mergeCell ref="J16:K16"/>
    <mergeCell ref="S16:T16"/>
    <mergeCell ref="C15:D15"/>
    <mergeCell ref="C16:D16"/>
    <mergeCell ref="L15:M15"/>
    <mergeCell ref="L16:M16"/>
    <mergeCell ref="C17:D17"/>
    <mergeCell ref="C18:D18"/>
    <mergeCell ref="C19:D19"/>
    <mergeCell ref="U8:V8"/>
    <mergeCell ref="U9:V9"/>
    <mergeCell ref="U10:V10"/>
    <mergeCell ref="U11:V11"/>
    <mergeCell ref="A24:B24"/>
    <mergeCell ref="J24:K24"/>
    <mergeCell ref="S24:T24"/>
    <mergeCell ref="J23:K23"/>
    <mergeCell ref="S23:T23"/>
    <mergeCell ref="A17:B17"/>
    <mergeCell ref="J17:K17"/>
    <mergeCell ref="S17:T17"/>
    <mergeCell ref="A18:B18"/>
    <mergeCell ref="J18:K18"/>
    <mergeCell ref="S18:T18"/>
    <mergeCell ref="A19:B19"/>
    <mergeCell ref="A25:B25"/>
    <mergeCell ref="J25:K25"/>
    <mergeCell ref="S25:T25"/>
    <mergeCell ref="L25:M25"/>
    <mergeCell ref="A36:B36"/>
    <mergeCell ref="J36:K36"/>
    <mergeCell ref="S36:T36"/>
    <mergeCell ref="A26:B26"/>
    <mergeCell ref="J26:K26"/>
    <mergeCell ref="S26:T26"/>
    <mergeCell ref="A27:B27"/>
    <mergeCell ref="J27:K27"/>
    <mergeCell ref="S27:T27"/>
    <mergeCell ref="A35:B35"/>
    <mergeCell ref="J35:K35"/>
    <mergeCell ref="S35:T35"/>
    <mergeCell ref="A10:B10"/>
    <mergeCell ref="J10:K10"/>
    <mergeCell ref="S10:T10"/>
    <mergeCell ref="A11:B11"/>
    <mergeCell ref="J11:K11"/>
    <mergeCell ref="S11:T11"/>
    <mergeCell ref="L10:M10"/>
    <mergeCell ref="L11:M11"/>
    <mergeCell ref="C10:D10"/>
    <mergeCell ref="C11:D11"/>
    <mergeCell ref="A3:H3"/>
    <mergeCell ref="J3:Q3"/>
    <mergeCell ref="S3:Z3"/>
    <mergeCell ref="A7:B7"/>
    <mergeCell ref="J7:K7"/>
    <mergeCell ref="S7:T7"/>
    <mergeCell ref="L7:M7"/>
    <mergeCell ref="U7:V7"/>
    <mergeCell ref="C7:D7"/>
    <mergeCell ref="A8:B8"/>
    <mergeCell ref="J8:K8"/>
    <mergeCell ref="S8:T8"/>
    <mergeCell ref="A9:B9"/>
    <mergeCell ref="J9:K9"/>
    <mergeCell ref="S9:T9"/>
    <mergeCell ref="L8:M8"/>
    <mergeCell ref="L9:M9"/>
    <mergeCell ref="C8:D8"/>
    <mergeCell ref="C9:D9"/>
    <mergeCell ref="C23:D23"/>
    <mergeCell ref="C24:D24"/>
    <mergeCell ref="C25:D25"/>
    <mergeCell ref="C26:D26"/>
    <mergeCell ref="C27:D27"/>
    <mergeCell ref="U15:V15"/>
    <mergeCell ref="U16:V16"/>
    <mergeCell ref="U17:V17"/>
    <mergeCell ref="U18:V18"/>
    <mergeCell ref="U19:V19"/>
    <mergeCell ref="U25:V25"/>
    <mergeCell ref="U26:V26"/>
    <mergeCell ref="U27:V27"/>
    <mergeCell ref="L17:M17"/>
    <mergeCell ref="L18:M18"/>
    <mergeCell ref="L19:M19"/>
    <mergeCell ref="L23:M23"/>
    <mergeCell ref="L24:M24"/>
    <mergeCell ref="U23:V23"/>
    <mergeCell ref="U24:V24"/>
    <mergeCell ref="L26:M26"/>
    <mergeCell ref="L27:M27"/>
  </mergeCells>
  <dataValidations count="5">
    <dataValidation type="list" allowBlank="1" showInputMessage="1" showErrorMessage="1" sqref="J23:K27 A23:B27 S23:T27">
      <formula1>récolte</formula1>
    </dataValidation>
    <dataValidation type="list" allowBlank="1" showInputMessage="1" showErrorMessage="1" sqref="J15:K20 A15:B20 S15:T20">
      <formula1>entretien_fumure</formula1>
    </dataValidation>
    <dataValidation type="list" allowBlank="1" showInputMessage="1" showErrorMessage="1" sqref="A7:B11 J7:K11 S7:T11">
      <formula1>semi</formula1>
    </dataValidation>
    <dataValidation type="list" allowBlank="1" showInputMessage="1" showErrorMessage="1" sqref="L23:L27 L15:L20 L7:L11 U23:U27 C23:C27 U15:U20 C7:C11 C15:C20 U7:U11">
      <formula1>supplement_GPS</formula1>
    </dataValidation>
    <dataValidation type="list" allowBlank="1" showInputMessage="1" showErrorMessage="1" sqref="P7:P11 G15:G20 G23:G27 Y7:Y11 Y23:Y27 P15:P20 Y15:Y20 P23:P27 G7:G11">
      <formula1>BesitzMieteDritte</formula1>
    </dataValidation>
  </dataValidations>
  <printOptions horizontalCentered="1" verticalCentered="1"/>
  <pageMargins left="0.31496062992125984" right="0.31496062992125984" top="0.74803149606299213" bottom="0.15748031496062992" header="0.31496062992125984" footer="0.15748031496062992"/>
  <pageSetup paperSize="9" scale="83" orientation="landscape" horizontalDpi="300" verticalDpi="300" r:id="rId1"/>
  <headerFooter>
    <oddHeader>&amp;L&amp;G&amp;C&amp;"-,Gras"&amp;14
Calculateur Marge-Brute SOJA-BIO&amp;R&amp;G</oddHeader>
    <oddFooter xml:space="preserve">&amp;C- 2 - </oddFooter>
  </headerFooter>
  <colBreaks count="1" manualBreakCount="1">
    <brk id="17" max="37" man="1"/>
  </colBreaks>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8"/>
  <sheetViews>
    <sheetView showGridLines="0" showRowColHeaders="0" zoomScale="115" zoomScaleNormal="115" zoomScaleSheetLayoutView="100" workbookViewId="0">
      <selection activeCell="E1" sqref="E1"/>
    </sheetView>
  </sheetViews>
  <sheetFormatPr baseColWidth="10" defaultColWidth="11.42578125" defaultRowHeight="15" x14ac:dyDescent="0.25"/>
  <cols>
    <col min="1" max="1" width="30" style="25" customWidth="1"/>
    <col min="2" max="4" width="7.85546875" style="25" customWidth="1"/>
    <col min="5" max="5" width="8.5703125" style="25" customWidth="1"/>
    <col min="6" max="8" width="7.85546875" style="25" customWidth="1"/>
    <col min="9" max="9" width="8.5703125" style="25" customWidth="1"/>
    <col min="10" max="12" width="7.85546875" style="25" customWidth="1"/>
    <col min="13" max="13" width="8.5703125" style="25" customWidth="1"/>
    <col min="14" max="15" width="5" style="25" customWidth="1"/>
    <col min="16" max="22" width="11.5703125" style="25" customWidth="1"/>
    <col min="23" max="16384" width="11.42578125" style="25"/>
  </cols>
  <sheetData>
    <row r="1" spans="1:17" s="97" customFormat="1" ht="24" customHeight="1" x14ac:dyDescent="0.25">
      <c r="A1" s="139" t="s">
        <v>145</v>
      </c>
      <c r="E1" s="88"/>
      <c r="F1" s="91"/>
      <c r="G1" s="92"/>
      <c r="H1" s="91"/>
      <c r="I1" s="93"/>
      <c r="J1" s="93"/>
      <c r="K1" s="93"/>
      <c r="L1" s="94"/>
      <c r="M1" s="94"/>
      <c r="N1" s="95"/>
      <c r="O1" s="88"/>
      <c r="P1" s="88"/>
      <c r="Q1" s="96"/>
    </row>
    <row r="2" spans="1:17" ht="28.9" customHeight="1" x14ac:dyDescent="0.25">
      <c r="A2" s="272"/>
      <c r="B2" s="405" t="str">
        <f>Hypothèses!A3</f>
        <v>Soja bio alimentaire</v>
      </c>
      <c r="C2" s="405"/>
      <c r="D2" s="405"/>
      <c r="E2" s="406"/>
      <c r="F2" s="409" t="str">
        <f>Hypothèses!J3</f>
        <v>Soja bio fourrager</v>
      </c>
      <c r="G2" s="405"/>
      <c r="H2" s="405"/>
      <c r="I2" s="406"/>
      <c r="J2" s="405" t="str">
        <f>Hypothèses!S3</f>
        <v>Variante libre (Féverole)</v>
      </c>
      <c r="K2" s="405"/>
      <c r="L2" s="405"/>
      <c r="M2" s="405"/>
    </row>
    <row r="3" spans="1:17" x14ac:dyDescent="0.25">
      <c r="A3" s="272" t="s">
        <v>0</v>
      </c>
      <c r="B3" s="49" t="s">
        <v>146</v>
      </c>
      <c r="C3" s="49" t="s">
        <v>142</v>
      </c>
      <c r="D3" s="48" t="s">
        <v>147</v>
      </c>
      <c r="E3" s="273" t="s">
        <v>148</v>
      </c>
      <c r="F3" s="274" t="s">
        <v>146</v>
      </c>
      <c r="G3" s="49" t="s">
        <v>142</v>
      </c>
      <c r="H3" s="48" t="s">
        <v>147</v>
      </c>
      <c r="I3" s="273" t="s">
        <v>148</v>
      </c>
      <c r="J3" s="49" t="s">
        <v>146</v>
      </c>
      <c r="K3" s="49" t="s">
        <v>142</v>
      </c>
      <c r="L3" s="48" t="s">
        <v>147</v>
      </c>
      <c r="M3" s="275" t="s">
        <v>148</v>
      </c>
    </row>
    <row r="4" spans="1:17" x14ac:dyDescent="0.25">
      <c r="A4" s="45"/>
      <c r="B4" s="49"/>
      <c r="C4" s="48"/>
      <c r="D4" s="48" t="s">
        <v>303</v>
      </c>
      <c r="E4" s="276" t="s">
        <v>303</v>
      </c>
      <c r="F4" s="274"/>
      <c r="G4" s="48"/>
      <c r="H4" s="48" t="s">
        <v>303</v>
      </c>
      <c r="I4" s="276" t="s">
        <v>303</v>
      </c>
      <c r="J4" s="49"/>
      <c r="K4" s="48"/>
      <c r="L4" s="48" t="s">
        <v>303</v>
      </c>
      <c r="M4" s="276" t="s">
        <v>303</v>
      </c>
    </row>
    <row r="5" spans="1:17" ht="18" x14ac:dyDescent="0.25">
      <c r="A5" s="278" t="s">
        <v>300</v>
      </c>
      <c r="B5" s="279">
        <v>21</v>
      </c>
      <c r="C5" s="280" t="s">
        <v>1</v>
      </c>
      <c r="D5" s="281">
        <v>220</v>
      </c>
      <c r="E5" s="282">
        <f>IF(OR(B5=0,D5=0),"",B5*D5)</f>
        <v>4620</v>
      </c>
      <c r="F5" s="283">
        <v>26</v>
      </c>
      <c r="G5" s="280" t="s">
        <v>1</v>
      </c>
      <c r="H5" s="281">
        <v>120</v>
      </c>
      <c r="I5" s="284">
        <f>IF(OR(F5=0,H5=0),"",F5*H5)</f>
        <v>3120</v>
      </c>
      <c r="J5" s="279">
        <v>32</v>
      </c>
      <c r="K5" s="280" t="s">
        <v>1</v>
      </c>
      <c r="L5" s="281">
        <v>78</v>
      </c>
      <c r="M5" s="285">
        <f>IF(OR(J5=0,L5=0),"",J5*L5)</f>
        <v>2496</v>
      </c>
    </row>
    <row r="6" spans="1:17" x14ac:dyDescent="0.25">
      <c r="A6" s="278" t="s">
        <v>172</v>
      </c>
      <c r="B6" s="286"/>
      <c r="C6" s="280" t="s">
        <v>1</v>
      </c>
      <c r="D6" s="287"/>
      <c r="E6" s="282" t="str">
        <f t="shared" ref="E6:E24" si="0">IF(OR(B6=0,D6=0),"",B6*D6)</f>
        <v/>
      </c>
      <c r="F6" s="288"/>
      <c r="G6" s="280" t="s">
        <v>1</v>
      </c>
      <c r="H6" s="287"/>
      <c r="I6" s="284" t="str">
        <f t="shared" ref="I6:I9" si="1">IF(OR(F6=0,H6=0),"",F6*H6)</f>
        <v/>
      </c>
      <c r="J6" s="289"/>
      <c r="K6" s="280" t="s">
        <v>1</v>
      </c>
      <c r="L6" s="287"/>
      <c r="M6" s="285" t="str">
        <f t="shared" ref="M6" si="2">IF(OR(J6=0,L6=0),"",J6*L6)</f>
        <v/>
      </c>
    </row>
    <row r="7" spans="1:17" x14ac:dyDescent="0.25">
      <c r="A7" s="278" t="s">
        <v>67</v>
      </c>
      <c r="B7" s="289">
        <f>-1/6*100</f>
        <v>-16.666666666666664</v>
      </c>
      <c r="C7" s="290" t="s">
        <v>56</v>
      </c>
      <c r="D7" s="290"/>
      <c r="E7" s="282">
        <f>IF(B7=0,"",B7*E5/100)</f>
        <v>-769.99999999999989</v>
      </c>
      <c r="F7" s="288">
        <v>-10</v>
      </c>
      <c r="G7" s="290" t="s">
        <v>56</v>
      </c>
      <c r="H7" s="290"/>
      <c r="I7" s="284">
        <f>IF(F7=0,"",F7*I5/100)</f>
        <v>-312</v>
      </c>
      <c r="J7" s="289">
        <v>-10</v>
      </c>
      <c r="K7" s="290" t="s">
        <v>56</v>
      </c>
      <c r="L7" s="290"/>
      <c r="M7" s="285">
        <f>IF(J7=0,"",J7*M5/100)</f>
        <v>-249.6</v>
      </c>
    </row>
    <row r="8" spans="1:17" x14ac:dyDescent="0.25">
      <c r="A8" s="278" t="s">
        <v>2</v>
      </c>
      <c r="B8" s="278"/>
      <c r="C8" s="278"/>
      <c r="D8" s="291">
        <v>1000</v>
      </c>
      <c r="E8" s="282">
        <f>IF(D8=0,"",D8)</f>
        <v>1000</v>
      </c>
      <c r="F8" s="278"/>
      <c r="G8" s="278"/>
      <c r="H8" s="291">
        <v>1000</v>
      </c>
      <c r="I8" s="284">
        <f>IF(H8=0,"",H8)</f>
        <v>1000</v>
      </c>
      <c r="J8" s="278"/>
      <c r="K8" s="278"/>
      <c r="L8" s="291">
        <v>1000</v>
      </c>
      <c r="M8" s="284">
        <f>IF(L8=0,"",L8)</f>
        <v>1000</v>
      </c>
    </row>
    <row r="9" spans="1:17" x14ac:dyDescent="0.25">
      <c r="A9" s="379" t="s">
        <v>307</v>
      </c>
      <c r="B9" s="379"/>
      <c r="C9" s="379"/>
      <c r="D9" s="287"/>
      <c r="E9" s="282" t="str">
        <f>IF(D9=0,"",D9)</f>
        <v/>
      </c>
      <c r="F9" s="288"/>
      <c r="G9" s="292"/>
      <c r="H9" s="287"/>
      <c r="I9" s="284" t="str">
        <f t="shared" si="1"/>
        <v/>
      </c>
      <c r="J9" s="289"/>
      <c r="K9" s="292"/>
      <c r="L9" s="287">
        <v>400</v>
      </c>
      <c r="M9" s="284">
        <f>IF(L9=0,"",L9)</f>
        <v>400</v>
      </c>
    </row>
    <row r="10" spans="1:17" s="84" customFormat="1" ht="15.75" x14ac:dyDescent="0.25">
      <c r="A10" s="369" t="s">
        <v>3</v>
      </c>
      <c r="B10" s="407"/>
      <c r="C10" s="407"/>
      <c r="D10" s="407"/>
      <c r="E10" s="370">
        <f>SUM(E5:E9)</f>
        <v>4850</v>
      </c>
      <c r="F10" s="408"/>
      <c r="G10" s="407"/>
      <c r="H10" s="407"/>
      <c r="I10" s="371">
        <f>SUM(I5:I9)</f>
        <v>3808</v>
      </c>
      <c r="J10" s="399"/>
      <c r="K10" s="399"/>
      <c r="L10" s="399"/>
      <c r="M10" s="372">
        <f>SUM(M5:M9)</f>
        <v>3646.4</v>
      </c>
    </row>
    <row r="11" spans="1:17" x14ac:dyDescent="0.25">
      <c r="A11" s="293" t="s">
        <v>130</v>
      </c>
      <c r="B11" s="279">
        <v>5.5</v>
      </c>
      <c r="C11" s="294" t="s">
        <v>153</v>
      </c>
      <c r="D11" s="281">
        <v>117.87</v>
      </c>
      <c r="E11" s="282">
        <f t="shared" si="0"/>
        <v>648.28500000000008</v>
      </c>
      <c r="F11" s="283">
        <v>5.5</v>
      </c>
      <c r="G11" s="294" t="s">
        <v>153</v>
      </c>
      <c r="H11" s="281">
        <v>117</v>
      </c>
      <c r="I11" s="284">
        <f t="shared" ref="I11:I12" si="3">IF(OR(F11=0,H11=0),"",F11*H11)</f>
        <v>643.5</v>
      </c>
      <c r="J11" s="279">
        <v>2.5</v>
      </c>
      <c r="K11" s="294" t="s">
        <v>153</v>
      </c>
      <c r="L11" s="281">
        <v>200</v>
      </c>
      <c r="M11" s="285">
        <f t="shared" ref="M11:M12" si="4">IF(OR(J11=0,L11=0),"",J11*L11)</f>
        <v>500</v>
      </c>
    </row>
    <row r="12" spans="1:17" x14ac:dyDescent="0.25">
      <c r="A12" s="293" t="s">
        <v>149</v>
      </c>
      <c r="B12" s="279">
        <v>1</v>
      </c>
      <c r="C12" s="294" t="s">
        <v>154</v>
      </c>
      <c r="D12" s="281">
        <v>40</v>
      </c>
      <c r="E12" s="282">
        <f t="shared" si="0"/>
        <v>40</v>
      </c>
      <c r="F12" s="279">
        <v>1</v>
      </c>
      <c r="G12" s="294" t="s">
        <v>154</v>
      </c>
      <c r="H12" s="281">
        <v>40</v>
      </c>
      <c r="I12" s="284">
        <f t="shared" si="3"/>
        <v>40</v>
      </c>
      <c r="J12" s="279"/>
      <c r="K12" s="294" t="s">
        <v>154</v>
      </c>
      <c r="L12" s="281"/>
      <c r="M12" s="285" t="str">
        <f t="shared" si="4"/>
        <v/>
      </c>
    </row>
    <row r="13" spans="1:17" x14ac:dyDescent="0.25">
      <c r="A13" s="295" t="s">
        <v>151</v>
      </c>
      <c r="B13" s="296"/>
      <c r="C13" s="297"/>
      <c r="D13" s="298"/>
      <c r="E13" s="299">
        <f>SUM(E11:E12)</f>
        <v>688.28500000000008</v>
      </c>
      <c r="F13" s="300"/>
      <c r="G13" s="297"/>
      <c r="H13" s="298"/>
      <c r="I13" s="301">
        <f>SUM(I11:I12)</f>
        <v>683.5</v>
      </c>
      <c r="J13" s="296"/>
      <c r="K13" s="297"/>
      <c r="L13" s="298"/>
      <c r="M13" s="302">
        <f>SUM(M11:M12)</f>
        <v>500</v>
      </c>
    </row>
    <row r="14" spans="1:17" x14ac:dyDescent="0.25">
      <c r="A14" s="303" t="s">
        <v>156</v>
      </c>
      <c r="B14" s="279"/>
      <c r="C14" s="294"/>
      <c r="D14" s="281"/>
      <c r="E14" s="282" t="str">
        <f t="shared" si="0"/>
        <v/>
      </c>
      <c r="F14" s="283"/>
      <c r="G14" s="294"/>
      <c r="H14" s="281"/>
      <c r="I14" s="284" t="str">
        <f t="shared" ref="I14:I16" si="5">IF(OR(F14=0,H14=0),"",F14*H14)</f>
        <v/>
      </c>
      <c r="J14" s="279"/>
      <c r="K14" s="294"/>
      <c r="L14" s="281"/>
      <c r="M14" s="285" t="str">
        <f t="shared" ref="M14:M16" si="6">IF(OR(J14=0,L14=0),"",J14*L14)</f>
        <v/>
      </c>
    </row>
    <row r="15" spans="1:17" x14ac:dyDescent="0.25">
      <c r="A15" s="304" t="s">
        <v>155</v>
      </c>
      <c r="B15" s="279"/>
      <c r="C15" s="294"/>
      <c r="D15" s="281"/>
      <c r="E15" s="282" t="str">
        <f t="shared" si="0"/>
        <v/>
      </c>
      <c r="F15" s="283"/>
      <c r="G15" s="294"/>
      <c r="H15" s="281"/>
      <c r="I15" s="284" t="str">
        <f t="shared" si="5"/>
        <v/>
      </c>
      <c r="J15" s="279"/>
      <c r="K15" s="294"/>
      <c r="L15" s="281"/>
      <c r="M15" s="285" t="str">
        <f t="shared" si="6"/>
        <v/>
      </c>
    </row>
    <row r="16" spans="1:17" x14ac:dyDescent="0.25">
      <c r="A16" s="305"/>
      <c r="B16" s="279"/>
      <c r="C16" s="294"/>
      <c r="D16" s="281"/>
      <c r="E16" s="282" t="str">
        <f t="shared" si="0"/>
        <v/>
      </c>
      <c r="F16" s="283"/>
      <c r="G16" s="294"/>
      <c r="H16" s="281"/>
      <c r="I16" s="284" t="str">
        <f t="shared" si="5"/>
        <v/>
      </c>
      <c r="J16" s="279"/>
      <c r="K16" s="294"/>
      <c r="L16" s="281"/>
      <c r="M16" s="285" t="str">
        <f t="shared" si="6"/>
        <v/>
      </c>
    </row>
    <row r="17" spans="1:13" x14ac:dyDescent="0.25">
      <c r="A17" s="306" t="s">
        <v>4</v>
      </c>
      <c r="B17" s="307"/>
      <c r="C17" s="308"/>
      <c r="D17" s="309"/>
      <c r="E17" s="299">
        <f>SUM(E14:E16)</f>
        <v>0</v>
      </c>
      <c r="F17" s="310"/>
      <c r="G17" s="308"/>
      <c r="H17" s="309"/>
      <c r="I17" s="301">
        <f>SUM(I14:I16)</f>
        <v>0</v>
      </c>
      <c r="J17" s="307"/>
      <c r="K17" s="308"/>
      <c r="L17" s="309"/>
      <c r="M17" s="302">
        <f>SUM(M14:M16)</f>
        <v>0</v>
      </c>
    </row>
    <row r="18" spans="1:13" x14ac:dyDescent="0.25">
      <c r="A18" s="304" t="s">
        <v>150</v>
      </c>
      <c r="B18" s="279"/>
      <c r="C18" s="294"/>
      <c r="D18" s="281"/>
      <c r="E18" s="282" t="str">
        <f t="shared" si="0"/>
        <v/>
      </c>
      <c r="F18" s="283"/>
      <c r="G18" s="294"/>
      <c r="H18" s="281"/>
      <c r="I18" s="284" t="str">
        <f t="shared" ref="I18:I19" si="7">IF(OR(F18=0,H18=0),"",F18*H18)</f>
        <v/>
      </c>
      <c r="J18" s="279"/>
      <c r="K18" s="294"/>
      <c r="L18" s="281"/>
      <c r="M18" s="285" t="str">
        <f t="shared" ref="M18:M19" si="8">IF(OR(J18=0,L18=0),"",J18*L18)</f>
        <v/>
      </c>
    </row>
    <row r="19" spans="1:13" x14ac:dyDescent="0.25">
      <c r="A19" s="305"/>
      <c r="B19" s="279"/>
      <c r="C19" s="294"/>
      <c r="D19" s="281"/>
      <c r="E19" s="282" t="str">
        <f t="shared" si="0"/>
        <v/>
      </c>
      <c r="F19" s="283"/>
      <c r="G19" s="294"/>
      <c r="H19" s="281"/>
      <c r="I19" s="284" t="str">
        <f t="shared" si="7"/>
        <v/>
      </c>
      <c r="J19" s="279"/>
      <c r="K19" s="294"/>
      <c r="L19" s="281"/>
      <c r="M19" s="285" t="str">
        <f t="shared" si="8"/>
        <v/>
      </c>
    </row>
    <row r="20" spans="1:13" x14ac:dyDescent="0.25">
      <c r="A20" s="306" t="s">
        <v>5</v>
      </c>
      <c r="B20" s="307"/>
      <c r="C20" s="308"/>
      <c r="D20" s="308"/>
      <c r="E20" s="299">
        <f>SUM(E18:E19)</f>
        <v>0</v>
      </c>
      <c r="F20" s="310"/>
      <c r="G20" s="308"/>
      <c r="H20" s="308"/>
      <c r="I20" s="301">
        <f>SUM(I18:I19)</f>
        <v>0</v>
      </c>
      <c r="J20" s="307"/>
      <c r="K20" s="308"/>
      <c r="L20" s="308"/>
      <c r="M20" s="302">
        <f>SUM(M18:M19)</f>
        <v>0</v>
      </c>
    </row>
    <row r="21" spans="1:13" x14ac:dyDescent="0.25">
      <c r="A21" s="304" t="s">
        <v>131</v>
      </c>
      <c r="B21" s="311">
        <v>3.7999999999999999E-2</v>
      </c>
      <c r="C21" s="48" t="s">
        <v>57</v>
      </c>
      <c r="D21" s="312">
        <f>E5</f>
        <v>4620</v>
      </c>
      <c r="E21" s="282">
        <f t="shared" si="0"/>
        <v>175.56</v>
      </c>
      <c r="F21" s="311">
        <v>3.7999999999999999E-2</v>
      </c>
      <c r="G21" s="48" t="s">
        <v>57</v>
      </c>
      <c r="H21" s="312">
        <f>I5</f>
        <v>3120</v>
      </c>
      <c r="I21" s="284">
        <f t="shared" ref="I21:I24" si="9">IF(OR(F21=0,H21=0),"",F21*H21)</f>
        <v>118.56</v>
      </c>
      <c r="J21" s="311">
        <v>3.7999999999999999E-2</v>
      </c>
      <c r="K21" s="48" t="s">
        <v>57</v>
      </c>
      <c r="L21" s="312">
        <f>M5</f>
        <v>2496</v>
      </c>
      <c r="M21" s="285">
        <f t="shared" ref="M21:M24" si="10">IF(OR(J21=0,L21=0),"",J21*L21)</f>
        <v>94.847999999999999</v>
      </c>
    </row>
    <row r="22" spans="1:13" ht="18" x14ac:dyDescent="0.25">
      <c r="A22" s="304" t="s">
        <v>301</v>
      </c>
      <c r="B22" s="313">
        <f>B5*0.89/0.84</f>
        <v>22.250000000000004</v>
      </c>
      <c r="C22" s="48" t="s">
        <v>1</v>
      </c>
      <c r="D22" s="314">
        <v>4.4400000000000004</v>
      </c>
      <c r="E22" s="282">
        <f>IF(OR(B22=0,D22=0),"",B22*D22)</f>
        <v>98.79000000000002</v>
      </c>
      <c r="F22" s="315">
        <f>F5*0.89/0.84</f>
        <v>27.547619047619051</v>
      </c>
      <c r="G22" s="48" t="s">
        <v>1</v>
      </c>
      <c r="H22" s="314">
        <v>4.4400000000000004</v>
      </c>
      <c r="I22" s="284">
        <f t="shared" si="9"/>
        <v>122.31142857142859</v>
      </c>
      <c r="J22" s="313">
        <v>33.4</v>
      </c>
      <c r="K22" s="48" t="s">
        <v>1</v>
      </c>
      <c r="L22" s="314">
        <v>4.4400000000000004</v>
      </c>
      <c r="M22" s="285">
        <f t="shared" si="10"/>
        <v>148.29600000000002</v>
      </c>
    </row>
    <row r="23" spans="1:13" x14ac:dyDescent="0.25">
      <c r="A23" s="304" t="s">
        <v>132</v>
      </c>
      <c r="B23" s="313">
        <f>B5*0.89/0.84</f>
        <v>22.250000000000004</v>
      </c>
      <c r="C23" s="316" t="s">
        <v>1</v>
      </c>
      <c r="D23" s="314">
        <v>7.17</v>
      </c>
      <c r="E23" s="282">
        <f t="shared" si="0"/>
        <v>159.53250000000003</v>
      </c>
      <c r="F23" s="315">
        <f>F5*0.89/0.84</f>
        <v>27.547619047619051</v>
      </c>
      <c r="G23" s="316" t="s">
        <v>1</v>
      </c>
      <c r="H23" s="314">
        <v>4.5999999999999996</v>
      </c>
      <c r="I23" s="284">
        <f t="shared" si="9"/>
        <v>126.71904761904763</v>
      </c>
      <c r="J23" s="313">
        <v>33.4</v>
      </c>
      <c r="K23" s="316" t="s">
        <v>1</v>
      </c>
      <c r="L23" s="314">
        <v>3.9</v>
      </c>
      <c r="M23" s="285">
        <f t="shared" si="10"/>
        <v>130.26</v>
      </c>
    </row>
    <row r="24" spans="1:13" x14ac:dyDescent="0.25">
      <c r="A24" s="304" t="s">
        <v>133</v>
      </c>
      <c r="B24" s="317">
        <f>B5</f>
        <v>21</v>
      </c>
      <c r="C24" s="48" t="s">
        <v>1</v>
      </c>
      <c r="D24" s="314">
        <v>0.12</v>
      </c>
      <c r="E24" s="282">
        <f t="shared" si="0"/>
        <v>2.52</v>
      </c>
      <c r="F24" s="318">
        <f>F5</f>
        <v>26</v>
      </c>
      <c r="G24" s="48" t="s">
        <v>1</v>
      </c>
      <c r="H24" s="314">
        <v>0.12</v>
      </c>
      <c r="I24" s="284">
        <f t="shared" si="9"/>
        <v>3.12</v>
      </c>
      <c r="J24" s="317">
        <f>J5</f>
        <v>32</v>
      </c>
      <c r="K24" s="48" t="s">
        <v>1</v>
      </c>
      <c r="L24" s="314">
        <v>0.11</v>
      </c>
      <c r="M24" s="285">
        <f t="shared" si="10"/>
        <v>3.52</v>
      </c>
    </row>
    <row r="25" spans="1:13" hidden="1" x14ac:dyDescent="0.25">
      <c r="A25" s="304"/>
      <c r="B25" s="317"/>
      <c r="C25" s="48"/>
      <c r="D25" s="319"/>
      <c r="E25" s="282">
        <v>0</v>
      </c>
      <c r="F25" s="318"/>
      <c r="G25" s="48"/>
      <c r="H25" s="319"/>
      <c r="I25" s="284">
        <v>0</v>
      </c>
      <c r="J25" s="317"/>
      <c r="K25" s="48"/>
      <c r="L25" s="319"/>
      <c r="M25" s="285"/>
    </row>
    <row r="26" spans="1:13" x14ac:dyDescent="0.25">
      <c r="A26" s="320" t="s">
        <v>152</v>
      </c>
      <c r="B26" s="307"/>
      <c r="C26" s="308"/>
      <c r="D26" s="309"/>
      <c r="E26" s="299">
        <f>SUM(E21:E25)</f>
        <v>436.40250000000003</v>
      </c>
      <c r="F26" s="310"/>
      <c r="G26" s="308"/>
      <c r="H26" s="309"/>
      <c r="I26" s="301">
        <f>SUM(I21:I25)</f>
        <v>370.71047619047624</v>
      </c>
      <c r="J26" s="307"/>
      <c r="K26" s="308"/>
      <c r="L26" s="309"/>
      <c r="M26" s="302">
        <f>SUM(M21:M25)</f>
        <v>376.92399999999998</v>
      </c>
    </row>
    <row r="27" spans="1:13" x14ac:dyDescent="0.25">
      <c r="A27" s="304"/>
      <c r="B27" s="317"/>
      <c r="C27" s="48"/>
      <c r="D27" s="319"/>
      <c r="E27" s="282"/>
      <c r="F27" s="318"/>
      <c r="G27" s="48"/>
      <c r="H27" s="319"/>
      <c r="I27" s="321"/>
      <c r="J27" s="317"/>
      <c r="K27" s="48"/>
      <c r="L27" s="319"/>
      <c r="M27" s="322"/>
    </row>
    <row r="28" spans="1:13" x14ac:dyDescent="0.25">
      <c r="A28" s="304"/>
      <c r="B28" s="317"/>
      <c r="C28" s="48"/>
      <c r="D28" s="319"/>
      <c r="E28" s="282"/>
      <c r="F28" s="318"/>
      <c r="G28" s="48"/>
      <c r="H28" s="319"/>
      <c r="I28" s="321"/>
      <c r="J28" s="317"/>
      <c r="K28" s="48"/>
      <c r="L28" s="319"/>
      <c r="M28" s="322"/>
    </row>
    <row r="29" spans="1:13" x14ac:dyDescent="0.25">
      <c r="A29" s="306" t="s">
        <v>6</v>
      </c>
      <c r="B29" s="307"/>
      <c r="C29" s="308"/>
      <c r="D29" s="309"/>
      <c r="E29" s="323"/>
      <c r="F29" s="310"/>
      <c r="G29" s="308"/>
      <c r="H29" s="309"/>
      <c r="I29" s="324"/>
      <c r="J29" s="307"/>
      <c r="K29" s="308"/>
      <c r="L29" s="309"/>
      <c r="M29" s="325"/>
    </row>
    <row r="30" spans="1:13" x14ac:dyDescent="0.25">
      <c r="A30" s="326" t="s">
        <v>7</v>
      </c>
      <c r="B30" s="37"/>
      <c r="C30" s="327"/>
      <c r="D30" s="327"/>
      <c r="E30" s="299">
        <f>E26+E20+E17+E13</f>
        <v>1124.6875</v>
      </c>
      <c r="F30" s="328"/>
      <c r="G30" s="327"/>
      <c r="H30" s="327"/>
      <c r="I30" s="301">
        <f>I286+I26+I20+I17+I13</f>
        <v>1054.2104761904761</v>
      </c>
      <c r="J30" s="37"/>
      <c r="K30" s="327"/>
      <c r="L30" s="327"/>
      <c r="M30" s="302">
        <f>M286+M26+M20+M17+M13</f>
        <v>876.92399999999998</v>
      </c>
    </row>
    <row r="31" spans="1:13" s="84" customFormat="1" ht="15.75" x14ac:dyDescent="0.25">
      <c r="A31" s="373" t="s">
        <v>8</v>
      </c>
      <c r="B31" s="410"/>
      <c r="C31" s="410"/>
      <c r="D31" s="410"/>
      <c r="E31" s="370">
        <f>E10-E13-E17-E20-E26-E29</f>
        <v>3725.3125</v>
      </c>
      <c r="F31" s="411"/>
      <c r="G31" s="410"/>
      <c r="H31" s="410"/>
      <c r="I31" s="371">
        <f>I10-I13-I17-I20-I26-I29</f>
        <v>2753.7895238095239</v>
      </c>
      <c r="J31" s="410"/>
      <c r="K31" s="410"/>
      <c r="L31" s="410"/>
      <c r="M31" s="372">
        <f>M10-M13-M17-M20-M26-M29</f>
        <v>2769.4760000000001</v>
      </c>
    </row>
    <row r="32" spans="1:13" ht="3.95" customHeight="1" x14ac:dyDescent="0.25">
      <c r="A32" s="326"/>
      <c r="B32" s="56"/>
      <c r="C32" s="56"/>
      <c r="D32" s="329"/>
      <c r="E32" s="282"/>
      <c r="F32" s="330"/>
      <c r="G32" s="56"/>
      <c r="H32" s="329"/>
      <c r="I32" s="331"/>
      <c r="J32" s="56"/>
      <c r="K32" s="56"/>
      <c r="L32" s="329"/>
      <c r="M32" s="54"/>
    </row>
    <row r="33" spans="1:13" x14ac:dyDescent="0.25">
      <c r="A33" s="304" t="s">
        <v>161</v>
      </c>
      <c r="B33" s="56"/>
      <c r="C33" s="56"/>
      <c r="D33" s="329"/>
      <c r="E33" s="282">
        <f>IF((Hypothèses!H28)=0,"",Hypothèses!H28)</f>
        <v>108.27959999999999</v>
      </c>
      <c r="F33" s="330"/>
      <c r="G33" s="56"/>
      <c r="H33" s="329"/>
      <c r="I33" s="331">
        <f>IF((Hypothèses!Q28)=0,"",Hypothèses!Q28)</f>
        <v>168.07589999999999</v>
      </c>
      <c r="J33" s="56"/>
      <c r="K33" s="56"/>
      <c r="L33" s="329"/>
      <c r="M33" s="54">
        <f>IF((Hypothèses!Z28)=0,"",Hypothèses!Z28)</f>
        <v>156.95519999999999</v>
      </c>
    </row>
    <row r="34" spans="1:13" x14ac:dyDescent="0.25">
      <c r="A34" s="304" t="s">
        <v>160</v>
      </c>
      <c r="B34" s="56"/>
      <c r="C34" s="56"/>
      <c r="D34" s="329"/>
      <c r="E34" s="282">
        <f>IF((Hypothèses!H29)=0,"",Hypothèses!H29)</f>
        <v>570</v>
      </c>
      <c r="F34" s="330"/>
      <c r="G34" s="56"/>
      <c r="H34" s="329"/>
      <c r="I34" s="331">
        <f>IF((Hypothèses!Q29)=0,"",Hypothèses!Q29)</f>
        <v>570</v>
      </c>
      <c r="J34" s="56"/>
      <c r="K34" s="56"/>
      <c r="L34" s="329"/>
      <c r="M34" s="54">
        <f>IF((Hypothèses!Z29)=0,"",Hypothèses!Z29)</f>
        <v>440</v>
      </c>
    </row>
    <row r="35" spans="1:13" x14ac:dyDescent="0.25">
      <c r="A35" s="304" t="s">
        <v>302</v>
      </c>
      <c r="B35" s="56"/>
      <c r="C35" s="56"/>
      <c r="D35" s="329"/>
      <c r="E35" s="282">
        <f>IF((Hypothèses!H30)=0,"",Hypothèses!H30)</f>
        <v>221.70230000000001</v>
      </c>
      <c r="F35" s="330"/>
      <c r="G35" s="56"/>
      <c r="H35" s="329"/>
      <c r="I35" s="331">
        <f>IF((Hypothèses!Q30)=0,"",Hypothèses!Q30)</f>
        <v>125.57599999999999</v>
      </c>
      <c r="J35" s="56"/>
      <c r="K35" s="56"/>
      <c r="L35" s="329"/>
      <c r="M35" s="54">
        <f>IF((Hypothèses!Z30)=0,"",Hypothèses!Z30)</f>
        <v>175.28888571428573</v>
      </c>
    </row>
    <row r="36" spans="1:13" x14ac:dyDescent="0.25">
      <c r="A36" s="69" t="s">
        <v>173</v>
      </c>
      <c r="B36" s="72"/>
      <c r="C36" s="71"/>
      <c r="D36" s="332"/>
      <c r="E36" s="333"/>
      <c r="F36" s="334"/>
      <c r="G36" s="71"/>
      <c r="H36" s="332"/>
      <c r="I36" s="335"/>
      <c r="J36" s="72"/>
      <c r="K36" s="71"/>
      <c r="L36" s="332"/>
      <c r="M36" s="336"/>
    </row>
    <row r="37" spans="1:13" ht="30" x14ac:dyDescent="0.25">
      <c r="A37" s="337" t="s">
        <v>162</v>
      </c>
      <c r="B37" s="338"/>
      <c r="C37" s="277"/>
      <c r="D37" s="339"/>
      <c r="E37" s="340">
        <f>SUM(E33:E35)</f>
        <v>899.9819</v>
      </c>
      <c r="F37" s="341"/>
      <c r="G37" s="277"/>
      <c r="H37" s="339"/>
      <c r="I37" s="342">
        <f>SUM(I33:I35)</f>
        <v>863.65190000000007</v>
      </c>
      <c r="J37" s="338"/>
      <c r="K37" s="277"/>
      <c r="L37" s="339"/>
      <c r="M37" s="343">
        <f>SUM(M33:M35)</f>
        <v>772.24408571428569</v>
      </c>
    </row>
    <row r="38" spans="1:13" x14ac:dyDescent="0.25">
      <c r="A38" s="304" t="s">
        <v>70</v>
      </c>
      <c r="B38" s="317">
        <f>SUM(Hypothèses!F35:F36)</f>
        <v>40</v>
      </c>
      <c r="C38" s="48" t="str">
        <f>Hypothèses!E35</f>
        <v>h</v>
      </c>
      <c r="D38" s="319">
        <f>(Hypothèses!F35*Hypothèses!G35+Hypothèses!F36*Hypothèses!G36)/SUM(Hypothèses!F35:F36)</f>
        <v>28</v>
      </c>
      <c r="E38" s="299">
        <f>B38*D38</f>
        <v>1120</v>
      </c>
      <c r="F38" s="317">
        <f>SUM(Hypothèses!O35:O36)</f>
        <v>10</v>
      </c>
      <c r="G38" s="48" t="str">
        <f>Hypothèses!N35</f>
        <v>h</v>
      </c>
      <c r="H38" s="319">
        <f>(Hypothèses!O35*Hypothèses!P35+Hypothèses!O36*Hypothèses!P36)/SUM(Hypothèses!O35:O36)</f>
        <v>28</v>
      </c>
      <c r="I38" s="301">
        <f>H38*F38</f>
        <v>280</v>
      </c>
      <c r="J38" s="317">
        <f>IF(SUM(Hypothèses!X35:X36)=0,"",SUM(Hypothèses!X35:X36))</f>
        <v>5</v>
      </c>
      <c r="K38" s="48" t="str">
        <f>IF(Hypothèses!W35="","",Hypothèses!W35)</f>
        <v>h</v>
      </c>
      <c r="L38" s="319">
        <f>IF(SUM(Hypothèses!X35:X36)=0,"",(Hypothèses!X35*Hypothèses!Y35+Hypothèses!X36*Hypothèses!Y36)/SUM(Hypothèses!X35:X36))</f>
        <v>28</v>
      </c>
      <c r="M38" s="301">
        <f>IF(OR(L38="",J38=""),"",(L38*J38))</f>
        <v>140</v>
      </c>
    </row>
    <row r="39" spans="1:13" x14ac:dyDescent="0.25">
      <c r="A39" s="304" t="s">
        <v>157</v>
      </c>
      <c r="B39" s="344">
        <v>0</v>
      </c>
      <c r="C39" s="345"/>
      <c r="D39" s="346">
        <f>E30+E37+E38</f>
        <v>3144.6693999999998</v>
      </c>
      <c r="E39" s="282" t="str">
        <f>IF(OR(B39=0,D39=0),"",B39*D39)</f>
        <v/>
      </c>
      <c r="F39" s="347">
        <v>0</v>
      </c>
      <c r="G39" s="348"/>
      <c r="H39" s="346">
        <f>I30+I37+I38</f>
        <v>2197.8623761904764</v>
      </c>
      <c r="I39" s="331" t="str">
        <f t="shared" ref="I39" si="11">IF(OR(F39=0,H39=0),"",F39*H39)</f>
        <v/>
      </c>
      <c r="J39" s="344">
        <v>0</v>
      </c>
      <c r="K39" s="348"/>
      <c r="L39" s="346">
        <f>SUM(M30,M37,M38)</f>
        <v>1789.1680857142856</v>
      </c>
      <c r="M39" s="54" t="str">
        <f>IF(OR(J39=0,L39=0),"",J39*L39)</f>
        <v/>
      </c>
    </row>
    <row r="40" spans="1:13" x14ac:dyDescent="0.25">
      <c r="A40" s="293" t="s">
        <v>158</v>
      </c>
      <c r="B40" s="349"/>
      <c r="C40" s="348"/>
      <c r="D40" s="346"/>
      <c r="E40" s="350">
        <v>43</v>
      </c>
      <c r="F40" s="351"/>
      <c r="G40" s="348"/>
      <c r="H40" s="352"/>
      <c r="I40" s="353">
        <v>43</v>
      </c>
      <c r="J40" s="349"/>
      <c r="K40" s="348"/>
      <c r="L40" s="352"/>
      <c r="M40" s="354">
        <v>43</v>
      </c>
    </row>
    <row r="41" spans="1:13" hidden="1" x14ac:dyDescent="0.25">
      <c r="A41" s="293"/>
      <c r="B41" s="349"/>
      <c r="C41" s="348"/>
      <c r="D41" s="352"/>
      <c r="E41" s="282"/>
      <c r="F41" s="351"/>
      <c r="G41" s="348"/>
      <c r="H41" s="352"/>
      <c r="I41" s="355"/>
      <c r="J41" s="349"/>
      <c r="K41" s="348"/>
      <c r="L41" s="352"/>
      <c r="M41" s="356"/>
    </row>
    <row r="42" spans="1:13" hidden="1" x14ac:dyDescent="0.25">
      <c r="A42" s="293"/>
      <c r="B42" s="349"/>
      <c r="C42" s="348"/>
      <c r="D42" s="352"/>
      <c r="E42" s="282"/>
      <c r="F42" s="351"/>
      <c r="G42" s="348"/>
      <c r="H42" s="352"/>
      <c r="I42" s="355"/>
      <c r="J42" s="349"/>
      <c r="K42" s="348"/>
      <c r="L42" s="352"/>
      <c r="M42" s="356"/>
    </row>
    <row r="43" spans="1:13" s="84" customFormat="1" ht="15.75" x14ac:dyDescent="0.25">
      <c r="A43" s="373" t="s">
        <v>9</v>
      </c>
      <c r="B43" s="374"/>
      <c r="C43" s="375"/>
      <c r="D43" s="376"/>
      <c r="E43" s="370">
        <f>E31-E37-E38-IF(E39="",0,E39)-E40</f>
        <v>1662.3306000000002</v>
      </c>
      <c r="F43" s="377"/>
      <c r="G43" s="374"/>
      <c r="H43" s="374"/>
      <c r="I43" s="378">
        <f>I31-I37-I38-IF(I39="",0,I39)-I40</f>
        <v>1567.1376238095238</v>
      </c>
      <c r="J43" s="374"/>
      <c r="K43" s="374"/>
      <c r="L43" s="374"/>
      <c r="M43" s="378">
        <f>M31-SUM(M37:M40)</f>
        <v>1814.2319142857145</v>
      </c>
    </row>
    <row r="44" spans="1:13" x14ac:dyDescent="0.25">
      <c r="A44" s="357" t="s">
        <v>10</v>
      </c>
      <c r="B44" s="358"/>
      <c r="C44" s="358"/>
      <c r="D44" s="358"/>
      <c r="E44" s="282"/>
      <c r="F44" s="359"/>
      <c r="G44" s="358"/>
      <c r="H44" s="358"/>
      <c r="I44" s="273"/>
      <c r="J44" s="358"/>
      <c r="K44" s="358"/>
      <c r="L44" s="358"/>
      <c r="M44" s="275"/>
    </row>
    <row r="45" spans="1:13" x14ac:dyDescent="0.25">
      <c r="A45" s="304" t="s">
        <v>11</v>
      </c>
      <c r="B45" s="358"/>
      <c r="C45" s="358"/>
      <c r="D45" s="358"/>
      <c r="E45" s="350"/>
      <c r="F45" s="359"/>
      <c r="G45" s="358"/>
      <c r="H45" s="358"/>
      <c r="I45" s="360"/>
      <c r="J45" s="358"/>
      <c r="K45" s="358"/>
      <c r="L45" s="358"/>
      <c r="M45" s="360"/>
    </row>
    <row r="46" spans="1:13" x14ac:dyDescent="0.25">
      <c r="A46" s="304" t="s">
        <v>159</v>
      </c>
      <c r="B46" s="358"/>
      <c r="C46" s="358"/>
      <c r="D46" s="358"/>
      <c r="E46" s="350">
        <v>1300</v>
      </c>
      <c r="F46" s="359"/>
      <c r="G46" s="358"/>
      <c r="H46" s="358"/>
      <c r="I46" s="360">
        <v>1300</v>
      </c>
      <c r="J46" s="358"/>
      <c r="K46" s="358"/>
      <c r="L46" s="358"/>
      <c r="M46" s="360">
        <v>1300</v>
      </c>
    </row>
    <row r="47" spans="1:13" x14ac:dyDescent="0.25">
      <c r="A47" s="361" t="s">
        <v>12</v>
      </c>
      <c r="B47" s="358"/>
      <c r="C47" s="358"/>
      <c r="D47" s="358"/>
      <c r="E47" s="350">
        <v>1200</v>
      </c>
      <c r="F47" s="359"/>
      <c r="G47" s="358"/>
      <c r="H47" s="358"/>
      <c r="I47" s="360">
        <v>1200</v>
      </c>
      <c r="J47" s="358"/>
      <c r="K47" s="358"/>
      <c r="L47" s="358"/>
      <c r="M47" s="360">
        <v>1200</v>
      </c>
    </row>
    <row r="48" spans="1:13" s="84" customFormat="1" ht="15.75" x14ac:dyDescent="0.25">
      <c r="A48" s="373" t="s">
        <v>13</v>
      </c>
      <c r="B48" s="374"/>
      <c r="C48" s="375"/>
      <c r="D48" s="376"/>
      <c r="E48" s="370">
        <f>E43+E45+E46+E47</f>
        <v>4162.3306000000002</v>
      </c>
      <c r="F48" s="377"/>
      <c r="G48" s="375"/>
      <c r="H48" s="376"/>
      <c r="I48" s="371">
        <f>I43+I45+I46+I47</f>
        <v>4067.1376238095236</v>
      </c>
      <c r="J48" s="374"/>
      <c r="K48" s="375"/>
      <c r="L48" s="376"/>
      <c r="M48" s="372">
        <f>M43+M45+M46+M47</f>
        <v>4314.2319142857141</v>
      </c>
    </row>
    <row r="49" spans="1:13" ht="7.5" customHeight="1" x14ac:dyDescent="0.25">
      <c r="A49" s="35"/>
      <c r="B49" s="362"/>
      <c r="C49" s="363"/>
      <c r="D49" s="364"/>
      <c r="E49" s="365"/>
      <c r="F49" s="366"/>
      <c r="G49" s="363"/>
      <c r="H49" s="364"/>
      <c r="I49" s="365"/>
      <c r="J49" s="362"/>
      <c r="K49" s="363"/>
      <c r="L49" s="364"/>
      <c r="M49" s="367"/>
    </row>
    <row r="50" spans="1:13" ht="14.45" customHeight="1" x14ac:dyDescent="0.25">
      <c r="A50" s="41" t="s">
        <v>68</v>
      </c>
      <c r="B50" s="400" t="s">
        <v>73</v>
      </c>
      <c r="C50" s="401"/>
      <c r="D50" s="401"/>
      <c r="E50" s="402"/>
      <c r="F50" s="403" t="s">
        <v>311</v>
      </c>
      <c r="G50" s="401"/>
      <c r="H50" s="401"/>
      <c r="I50" s="402"/>
      <c r="J50" s="400" t="s">
        <v>72</v>
      </c>
      <c r="K50" s="401"/>
      <c r="L50" s="401"/>
      <c r="M50" s="401"/>
    </row>
    <row r="51" spans="1:13" x14ac:dyDescent="0.25">
      <c r="A51" s="368"/>
      <c r="B51" s="401"/>
      <c r="C51" s="401"/>
      <c r="D51" s="401"/>
      <c r="E51" s="402"/>
      <c r="F51" s="404"/>
      <c r="G51" s="401"/>
      <c r="H51" s="401"/>
      <c r="I51" s="402"/>
      <c r="J51" s="401"/>
      <c r="K51" s="401"/>
      <c r="L51" s="401"/>
      <c r="M51" s="401"/>
    </row>
    <row r="52" spans="1:13" x14ac:dyDescent="0.25">
      <c r="A52" s="368"/>
      <c r="B52" s="401"/>
      <c r="C52" s="401"/>
      <c r="D52" s="401"/>
      <c r="E52" s="402"/>
      <c r="F52" s="404"/>
      <c r="G52" s="401"/>
      <c r="H52" s="401"/>
      <c r="I52" s="402"/>
      <c r="J52" s="401"/>
      <c r="K52" s="401"/>
      <c r="L52" s="401"/>
      <c r="M52" s="401"/>
    </row>
    <row r="53" spans="1:13" x14ac:dyDescent="0.25">
      <c r="A53" s="368"/>
      <c r="B53" s="401"/>
      <c r="C53" s="401"/>
      <c r="D53" s="401"/>
      <c r="E53" s="402"/>
      <c r="F53" s="404"/>
      <c r="G53" s="401"/>
      <c r="H53" s="401"/>
      <c r="I53" s="402"/>
      <c r="J53" s="401"/>
      <c r="K53" s="401"/>
      <c r="L53" s="401"/>
      <c r="M53" s="401"/>
    </row>
    <row r="58" spans="1:13" x14ac:dyDescent="0.25">
      <c r="D58" s="42"/>
    </row>
  </sheetData>
  <mergeCells count="12">
    <mergeCell ref="J10:L10"/>
    <mergeCell ref="B50:E53"/>
    <mergeCell ref="F50:I53"/>
    <mergeCell ref="J50:M53"/>
    <mergeCell ref="J2:M2"/>
    <mergeCell ref="B2:E2"/>
    <mergeCell ref="B10:D10"/>
    <mergeCell ref="F10:H10"/>
    <mergeCell ref="F2:I2"/>
    <mergeCell ref="B31:D31"/>
    <mergeCell ref="F31:H31"/>
    <mergeCell ref="J31:L31"/>
  </mergeCells>
  <dataValidations count="1">
    <dataValidation type="list" allowBlank="1" showInputMessage="1" showErrorMessage="1" sqref="A41">
      <formula1>entretien</formula1>
    </dataValidation>
  </dataValidations>
  <printOptions horizontalCentered="1" verticalCentered="1"/>
  <pageMargins left="0.31496062992125984" right="0.31496062992125984" top="0.82677165354330717" bottom="0.15748031496062992" header="0.31496062992125984" footer="0.23622047244094491"/>
  <pageSetup paperSize="9" scale="87" orientation="portrait" horizontalDpi="300" verticalDpi="300" r:id="rId1"/>
  <headerFooter>
    <oddHeader>&amp;L&amp;G&amp;C&amp;"-,Gras"&amp;14
                     Calculateur Marge-Brute SOJA-BIO&amp;R&amp;G</oddHeader>
    <oddFooter>&amp;C- 3 -</oddFooter>
  </headerFooter>
  <legacyDrawingHF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W86"/>
  <sheetViews>
    <sheetView showGridLines="0" showRowColHeaders="0" showZeros="0" zoomScaleNormal="100" zoomScaleSheetLayoutView="100" workbookViewId="0">
      <pane xSplit="4" ySplit="5" topLeftCell="E6" activePane="bottomRight" state="frozen"/>
      <selection activeCell="E10" sqref="E10"/>
      <selection pane="topRight" activeCell="E10" sqref="E10"/>
      <selection pane="bottomLeft" activeCell="E10" sqref="E10"/>
      <selection pane="bottomRight" activeCell="E4" sqref="E4"/>
    </sheetView>
  </sheetViews>
  <sheetFormatPr baseColWidth="10" defaultColWidth="8.7109375" defaultRowHeight="12" x14ac:dyDescent="0.2"/>
  <cols>
    <col min="1" max="1" width="5" style="126" hidden="1" customWidth="1"/>
    <col min="2" max="2" width="59.140625" style="129" hidden="1" customWidth="1"/>
    <col min="3" max="3" width="3.85546875" style="126" hidden="1" customWidth="1"/>
    <col min="4" max="4" width="66.85546875" style="129" customWidth="1"/>
    <col min="5" max="6" width="4.42578125" style="126" bestFit="1" customWidth="1"/>
    <col min="7" max="7" width="7.85546875" style="138" customWidth="1"/>
    <col min="8" max="8" width="8.5703125" style="131" customWidth="1"/>
    <col min="9" max="9" width="9.140625" style="138" customWidth="1"/>
    <col min="10" max="10" width="8.5703125" style="132" customWidth="1"/>
    <col min="11" max="12" width="7.85546875" style="132" customWidth="1"/>
    <col min="13" max="13" width="4.5703125" style="130" hidden="1" customWidth="1"/>
    <col min="14" max="14" width="4.28515625" style="130" hidden="1" customWidth="1"/>
    <col min="15" max="15" width="3.140625" style="133" hidden="1" customWidth="1"/>
    <col min="16" max="16" width="3.85546875" style="126" hidden="1" customWidth="1"/>
    <col min="17" max="17" width="7.85546875" style="126" hidden="1" customWidth="1"/>
    <col min="18" max="18" width="8.7109375" style="134" hidden="1" customWidth="1"/>
    <col min="19" max="19" width="10.42578125" style="125" hidden="1" customWidth="1"/>
    <col min="20" max="20" width="23.42578125" style="125" hidden="1" customWidth="1"/>
    <col min="21" max="21" width="5.7109375" style="125" customWidth="1"/>
    <col min="22" max="22" width="30.140625" style="125" customWidth="1"/>
    <col min="23" max="24" width="31.7109375" style="125" customWidth="1"/>
    <col min="25" max="226" width="8.7109375" style="125"/>
    <col min="227" max="227" width="5" style="125" customWidth="1"/>
    <col min="228" max="229" width="8.7109375" style="125" customWidth="1"/>
    <col min="230" max="230" width="34.7109375" style="125" customWidth="1"/>
    <col min="231" max="231" width="2.7109375" style="125" customWidth="1"/>
    <col min="232" max="232" width="3" style="125" customWidth="1"/>
    <col min="233" max="237" width="6.7109375" style="125" customWidth="1"/>
    <col min="238" max="238" width="6.28515625" style="125" customWidth="1"/>
    <col min="239" max="239" width="5.42578125" style="125" customWidth="1"/>
    <col min="240" max="240" width="4.5703125" style="125" customWidth="1"/>
    <col min="241" max="241" width="3.140625" style="125" bestFit="1" customWidth="1"/>
    <col min="242" max="242" width="3.7109375" style="125" customWidth="1"/>
    <col min="243" max="243" width="8.7109375" style="125" customWidth="1"/>
    <col min="244" max="244" width="31.7109375" style="125" customWidth="1"/>
    <col min="245" max="245" width="23.42578125" style="125" customWidth="1"/>
    <col min="246" max="246" width="5.7109375" style="125" customWidth="1"/>
    <col min="247" max="247" width="30.140625" style="125" customWidth="1"/>
    <col min="248" max="249" width="31.7109375" style="125" customWidth="1"/>
    <col min="250" max="250" width="103.7109375" style="125" customWidth="1"/>
    <col min="251" max="258" width="8.7109375" style="125" customWidth="1"/>
    <col min="259" max="482" width="8.7109375" style="125"/>
    <col min="483" max="483" width="5" style="125" customWidth="1"/>
    <col min="484" max="485" width="8.7109375" style="125" customWidth="1"/>
    <col min="486" max="486" width="34.7109375" style="125" customWidth="1"/>
    <col min="487" max="487" width="2.7109375" style="125" customWidth="1"/>
    <col min="488" max="488" width="3" style="125" customWidth="1"/>
    <col min="489" max="493" width="6.7109375" style="125" customWidth="1"/>
    <col min="494" max="494" width="6.28515625" style="125" customWidth="1"/>
    <col min="495" max="495" width="5.42578125" style="125" customWidth="1"/>
    <col min="496" max="496" width="4.5703125" style="125" customWidth="1"/>
    <col min="497" max="497" width="3.140625" style="125" bestFit="1" customWidth="1"/>
    <col min="498" max="498" width="3.7109375" style="125" customWidth="1"/>
    <col min="499" max="499" width="8.7109375" style="125" customWidth="1"/>
    <col min="500" max="500" width="31.7109375" style="125" customWidth="1"/>
    <col min="501" max="501" width="23.42578125" style="125" customWidth="1"/>
    <col min="502" max="502" width="5.7109375" style="125" customWidth="1"/>
    <col min="503" max="503" width="30.140625" style="125" customWidth="1"/>
    <col min="504" max="505" width="31.7109375" style="125" customWidth="1"/>
    <col min="506" max="506" width="103.7109375" style="125" customWidth="1"/>
    <col min="507" max="514" width="8.7109375" style="125" customWidth="1"/>
    <col min="515" max="738" width="8.7109375" style="125"/>
    <col min="739" max="739" width="5" style="125" customWidth="1"/>
    <col min="740" max="741" width="8.7109375" style="125" customWidth="1"/>
    <col min="742" max="742" width="34.7109375" style="125" customWidth="1"/>
    <col min="743" max="743" width="2.7109375" style="125" customWidth="1"/>
    <col min="744" max="744" width="3" style="125" customWidth="1"/>
    <col min="745" max="749" width="6.7109375" style="125" customWidth="1"/>
    <col min="750" max="750" width="6.28515625" style="125" customWidth="1"/>
    <col min="751" max="751" width="5.42578125" style="125" customWidth="1"/>
    <col min="752" max="752" width="4.5703125" style="125" customWidth="1"/>
    <col min="753" max="753" width="3.140625" style="125" bestFit="1" customWidth="1"/>
    <col min="754" max="754" width="3.7109375" style="125" customWidth="1"/>
    <col min="755" max="755" width="8.7109375" style="125" customWidth="1"/>
    <col min="756" max="756" width="31.7109375" style="125" customWidth="1"/>
    <col min="757" max="757" width="23.42578125" style="125" customWidth="1"/>
    <col min="758" max="758" width="5.7109375" style="125" customWidth="1"/>
    <col min="759" max="759" width="30.140625" style="125" customWidth="1"/>
    <col min="760" max="761" width="31.7109375" style="125" customWidth="1"/>
    <col min="762" max="762" width="103.7109375" style="125" customWidth="1"/>
    <col min="763" max="770" width="8.7109375" style="125" customWidth="1"/>
    <col min="771" max="994" width="8.7109375" style="125"/>
    <col min="995" max="995" width="5" style="125" customWidth="1"/>
    <col min="996" max="997" width="8.7109375" style="125" customWidth="1"/>
    <col min="998" max="998" width="34.7109375" style="125" customWidth="1"/>
    <col min="999" max="999" width="2.7109375" style="125" customWidth="1"/>
    <col min="1000" max="1000" width="3" style="125" customWidth="1"/>
    <col min="1001" max="1005" width="6.7109375" style="125" customWidth="1"/>
    <col min="1006" max="1006" width="6.28515625" style="125" customWidth="1"/>
    <col min="1007" max="1007" width="5.42578125" style="125" customWidth="1"/>
    <col min="1008" max="1008" width="4.5703125" style="125" customWidth="1"/>
    <col min="1009" max="1009" width="3.140625" style="125" bestFit="1" customWidth="1"/>
    <col min="1010" max="1010" width="3.7109375" style="125" customWidth="1"/>
    <col min="1011" max="1011" width="8.7109375" style="125" customWidth="1"/>
    <col min="1012" max="1012" width="31.7109375" style="125" customWidth="1"/>
    <col min="1013" max="1013" width="23.42578125" style="125" customWidth="1"/>
    <col min="1014" max="1014" width="5.7109375" style="125" customWidth="1"/>
    <col min="1015" max="1015" width="30.140625" style="125" customWidth="1"/>
    <col min="1016" max="1017" width="31.7109375" style="125" customWidth="1"/>
    <col min="1018" max="1018" width="103.7109375" style="125" customWidth="1"/>
    <col min="1019" max="1026" width="8.7109375" style="125" customWidth="1"/>
    <col min="1027" max="1250" width="8.7109375" style="125"/>
    <col min="1251" max="1251" width="5" style="125" customWidth="1"/>
    <col min="1252" max="1253" width="8.7109375" style="125" customWidth="1"/>
    <col min="1254" max="1254" width="34.7109375" style="125" customWidth="1"/>
    <col min="1255" max="1255" width="2.7109375" style="125" customWidth="1"/>
    <col min="1256" max="1256" width="3" style="125" customWidth="1"/>
    <col min="1257" max="1261" width="6.7109375" style="125" customWidth="1"/>
    <col min="1262" max="1262" width="6.28515625" style="125" customWidth="1"/>
    <col min="1263" max="1263" width="5.42578125" style="125" customWidth="1"/>
    <col min="1264" max="1264" width="4.5703125" style="125" customWidth="1"/>
    <col min="1265" max="1265" width="3.140625" style="125" bestFit="1" customWidth="1"/>
    <col min="1266" max="1266" width="3.7109375" style="125" customWidth="1"/>
    <col min="1267" max="1267" width="8.7109375" style="125" customWidth="1"/>
    <col min="1268" max="1268" width="31.7109375" style="125" customWidth="1"/>
    <col min="1269" max="1269" width="23.42578125" style="125" customWidth="1"/>
    <col min="1270" max="1270" width="5.7109375" style="125" customWidth="1"/>
    <col min="1271" max="1271" width="30.140625" style="125" customWidth="1"/>
    <col min="1272" max="1273" width="31.7109375" style="125" customWidth="1"/>
    <col min="1274" max="1274" width="103.7109375" style="125" customWidth="1"/>
    <col min="1275" max="1282" width="8.7109375" style="125" customWidth="1"/>
    <col min="1283" max="1506" width="8.7109375" style="125"/>
    <col min="1507" max="1507" width="5" style="125" customWidth="1"/>
    <col min="1508" max="1509" width="8.7109375" style="125" customWidth="1"/>
    <col min="1510" max="1510" width="34.7109375" style="125" customWidth="1"/>
    <col min="1511" max="1511" width="2.7109375" style="125" customWidth="1"/>
    <col min="1512" max="1512" width="3" style="125" customWidth="1"/>
    <col min="1513" max="1517" width="6.7109375" style="125" customWidth="1"/>
    <col min="1518" max="1518" width="6.28515625" style="125" customWidth="1"/>
    <col min="1519" max="1519" width="5.42578125" style="125" customWidth="1"/>
    <col min="1520" max="1520" width="4.5703125" style="125" customWidth="1"/>
    <col min="1521" max="1521" width="3.140625" style="125" bestFit="1" customWidth="1"/>
    <col min="1522" max="1522" width="3.7109375" style="125" customWidth="1"/>
    <col min="1523" max="1523" width="8.7109375" style="125" customWidth="1"/>
    <col min="1524" max="1524" width="31.7109375" style="125" customWidth="1"/>
    <col min="1525" max="1525" width="23.42578125" style="125" customWidth="1"/>
    <col min="1526" max="1526" width="5.7109375" style="125" customWidth="1"/>
    <col min="1527" max="1527" width="30.140625" style="125" customWidth="1"/>
    <col min="1528" max="1529" width="31.7109375" style="125" customWidth="1"/>
    <col min="1530" max="1530" width="103.7109375" style="125" customWidth="1"/>
    <col min="1531" max="1538" width="8.7109375" style="125" customWidth="1"/>
    <col min="1539" max="1762" width="8.7109375" style="125"/>
    <col min="1763" max="1763" width="5" style="125" customWidth="1"/>
    <col min="1764" max="1765" width="8.7109375" style="125" customWidth="1"/>
    <col min="1766" max="1766" width="34.7109375" style="125" customWidth="1"/>
    <col min="1767" max="1767" width="2.7109375" style="125" customWidth="1"/>
    <col min="1768" max="1768" width="3" style="125" customWidth="1"/>
    <col min="1769" max="1773" width="6.7109375" style="125" customWidth="1"/>
    <col min="1774" max="1774" width="6.28515625" style="125" customWidth="1"/>
    <col min="1775" max="1775" width="5.42578125" style="125" customWidth="1"/>
    <col min="1776" max="1776" width="4.5703125" style="125" customWidth="1"/>
    <col min="1777" max="1777" width="3.140625" style="125" bestFit="1" customWidth="1"/>
    <col min="1778" max="1778" width="3.7109375" style="125" customWidth="1"/>
    <col min="1779" max="1779" width="8.7109375" style="125" customWidth="1"/>
    <col min="1780" max="1780" width="31.7109375" style="125" customWidth="1"/>
    <col min="1781" max="1781" width="23.42578125" style="125" customWidth="1"/>
    <col min="1782" max="1782" width="5.7109375" style="125" customWidth="1"/>
    <col min="1783" max="1783" width="30.140625" style="125" customWidth="1"/>
    <col min="1784" max="1785" width="31.7109375" style="125" customWidth="1"/>
    <col min="1786" max="1786" width="103.7109375" style="125" customWidth="1"/>
    <col min="1787" max="1794" width="8.7109375" style="125" customWidth="1"/>
    <col min="1795" max="2018" width="8.7109375" style="125"/>
    <col min="2019" max="2019" width="5" style="125" customWidth="1"/>
    <col min="2020" max="2021" width="8.7109375" style="125" customWidth="1"/>
    <col min="2022" max="2022" width="34.7109375" style="125" customWidth="1"/>
    <col min="2023" max="2023" width="2.7109375" style="125" customWidth="1"/>
    <col min="2024" max="2024" width="3" style="125" customWidth="1"/>
    <col min="2025" max="2029" width="6.7109375" style="125" customWidth="1"/>
    <col min="2030" max="2030" width="6.28515625" style="125" customWidth="1"/>
    <col min="2031" max="2031" width="5.42578125" style="125" customWidth="1"/>
    <col min="2032" max="2032" width="4.5703125" style="125" customWidth="1"/>
    <col min="2033" max="2033" width="3.140625" style="125" bestFit="1" customWidth="1"/>
    <col min="2034" max="2034" width="3.7109375" style="125" customWidth="1"/>
    <col min="2035" max="2035" width="8.7109375" style="125" customWidth="1"/>
    <col min="2036" max="2036" width="31.7109375" style="125" customWidth="1"/>
    <col min="2037" max="2037" width="23.42578125" style="125" customWidth="1"/>
    <col min="2038" max="2038" width="5.7109375" style="125" customWidth="1"/>
    <col min="2039" max="2039" width="30.140625" style="125" customWidth="1"/>
    <col min="2040" max="2041" width="31.7109375" style="125" customWidth="1"/>
    <col min="2042" max="2042" width="103.7109375" style="125" customWidth="1"/>
    <col min="2043" max="2050" width="8.7109375" style="125" customWidth="1"/>
    <col min="2051" max="2274" width="8.7109375" style="125"/>
    <col min="2275" max="2275" width="5" style="125" customWidth="1"/>
    <col min="2276" max="2277" width="8.7109375" style="125" customWidth="1"/>
    <col min="2278" max="2278" width="34.7109375" style="125" customWidth="1"/>
    <col min="2279" max="2279" width="2.7109375" style="125" customWidth="1"/>
    <col min="2280" max="2280" width="3" style="125" customWidth="1"/>
    <col min="2281" max="2285" width="6.7109375" style="125" customWidth="1"/>
    <col min="2286" max="2286" width="6.28515625" style="125" customWidth="1"/>
    <col min="2287" max="2287" width="5.42578125" style="125" customWidth="1"/>
    <col min="2288" max="2288" width="4.5703125" style="125" customWidth="1"/>
    <col min="2289" max="2289" width="3.140625" style="125" bestFit="1" customWidth="1"/>
    <col min="2290" max="2290" width="3.7109375" style="125" customWidth="1"/>
    <col min="2291" max="2291" width="8.7109375" style="125" customWidth="1"/>
    <col min="2292" max="2292" width="31.7109375" style="125" customWidth="1"/>
    <col min="2293" max="2293" width="23.42578125" style="125" customWidth="1"/>
    <col min="2294" max="2294" width="5.7109375" style="125" customWidth="1"/>
    <col min="2295" max="2295" width="30.140625" style="125" customWidth="1"/>
    <col min="2296" max="2297" width="31.7109375" style="125" customWidth="1"/>
    <col min="2298" max="2298" width="103.7109375" style="125" customWidth="1"/>
    <col min="2299" max="2306" width="8.7109375" style="125" customWidth="1"/>
    <col min="2307" max="2530" width="8.7109375" style="125"/>
    <col min="2531" max="2531" width="5" style="125" customWidth="1"/>
    <col min="2532" max="2533" width="8.7109375" style="125" customWidth="1"/>
    <col min="2534" max="2534" width="34.7109375" style="125" customWidth="1"/>
    <col min="2535" max="2535" width="2.7109375" style="125" customWidth="1"/>
    <col min="2536" max="2536" width="3" style="125" customWidth="1"/>
    <col min="2537" max="2541" width="6.7109375" style="125" customWidth="1"/>
    <col min="2542" max="2542" width="6.28515625" style="125" customWidth="1"/>
    <col min="2543" max="2543" width="5.42578125" style="125" customWidth="1"/>
    <col min="2544" max="2544" width="4.5703125" style="125" customWidth="1"/>
    <col min="2545" max="2545" width="3.140625" style="125" bestFit="1" customWidth="1"/>
    <col min="2546" max="2546" width="3.7109375" style="125" customWidth="1"/>
    <col min="2547" max="2547" width="8.7109375" style="125" customWidth="1"/>
    <col min="2548" max="2548" width="31.7109375" style="125" customWidth="1"/>
    <col min="2549" max="2549" width="23.42578125" style="125" customWidth="1"/>
    <col min="2550" max="2550" width="5.7109375" style="125" customWidth="1"/>
    <col min="2551" max="2551" width="30.140625" style="125" customWidth="1"/>
    <col min="2552" max="2553" width="31.7109375" style="125" customWidth="1"/>
    <col min="2554" max="2554" width="103.7109375" style="125" customWidth="1"/>
    <col min="2555" max="2562" width="8.7109375" style="125" customWidth="1"/>
    <col min="2563" max="2786" width="8.7109375" style="125"/>
    <col min="2787" max="2787" width="5" style="125" customWidth="1"/>
    <col min="2788" max="2789" width="8.7109375" style="125" customWidth="1"/>
    <col min="2790" max="2790" width="34.7109375" style="125" customWidth="1"/>
    <col min="2791" max="2791" width="2.7109375" style="125" customWidth="1"/>
    <col min="2792" max="2792" width="3" style="125" customWidth="1"/>
    <col min="2793" max="2797" width="6.7109375" style="125" customWidth="1"/>
    <col min="2798" max="2798" width="6.28515625" style="125" customWidth="1"/>
    <col min="2799" max="2799" width="5.42578125" style="125" customWidth="1"/>
    <col min="2800" max="2800" width="4.5703125" style="125" customWidth="1"/>
    <col min="2801" max="2801" width="3.140625" style="125" bestFit="1" customWidth="1"/>
    <col min="2802" max="2802" width="3.7109375" style="125" customWidth="1"/>
    <col min="2803" max="2803" width="8.7109375" style="125" customWidth="1"/>
    <col min="2804" max="2804" width="31.7109375" style="125" customWidth="1"/>
    <col min="2805" max="2805" width="23.42578125" style="125" customWidth="1"/>
    <col min="2806" max="2806" width="5.7109375" style="125" customWidth="1"/>
    <col min="2807" max="2807" width="30.140625" style="125" customWidth="1"/>
    <col min="2808" max="2809" width="31.7109375" style="125" customWidth="1"/>
    <col min="2810" max="2810" width="103.7109375" style="125" customWidth="1"/>
    <col min="2811" max="2818" width="8.7109375" style="125" customWidth="1"/>
    <col min="2819" max="3042" width="8.7109375" style="125"/>
    <col min="3043" max="3043" width="5" style="125" customWidth="1"/>
    <col min="3044" max="3045" width="8.7109375" style="125" customWidth="1"/>
    <col min="3046" max="3046" width="34.7109375" style="125" customWidth="1"/>
    <col min="3047" max="3047" width="2.7109375" style="125" customWidth="1"/>
    <col min="3048" max="3048" width="3" style="125" customWidth="1"/>
    <col min="3049" max="3053" width="6.7109375" style="125" customWidth="1"/>
    <col min="3054" max="3054" width="6.28515625" style="125" customWidth="1"/>
    <col min="3055" max="3055" width="5.42578125" style="125" customWidth="1"/>
    <col min="3056" max="3056" width="4.5703125" style="125" customWidth="1"/>
    <col min="3057" max="3057" width="3.140625" style="125" bestFit="1" customWidth="1"/>
    <col min="3058" max="3058" width="3.7109375" style="125" customWidth="1"/>
    <col min="3059" max="3059" width="8.7109375" style="125" customWidth="1"/>
    <col min="3060" max="3060" width="31.7109375" style="125" customWidth="1"/>
    <col min="3061" max="3061" width="23.42578125" style="125" customWidth="1"/>
    <col min="3062" max="3062" width="5.7109375" style="125" customWidth="1"/>
    <col min="3063" max="3063" width="30.140625" style="125" customWidth="1"/>
    <col min="3064" max="3065" width="31.7109375" style="125" customWidth="1"/>
    <col min="3066" max="3066" width="103.7109375" style="125" customWidth="1"/>
    <col min="3067" max="3074" width="8.7109375" style="125" customWidth="1"/>
    <col min="3075" max="3298" width="8.7109375" style="125"/>
    <col min="3299" max="3299" width="5" style="125" customWidth="1"/>
    <col min="3300" max="3301" width="8.7109375" style="125" customWidth="1"/>
    <col min="3302" max="3302" width="34.7109375" style="125" customWidth="1"/>
    <col min="3303" max="3303" width="2.7109375" style="125" customWidth="1"/>
    <col min="3304" max="3304" width="3" style="125" customWidth="1"/>
    <col min="3305" max="3309" width="6.7109375" style="125" customWidth="1"/>
    <col min="3310" max="3310" width="6.28515625" style="125" customWidth="1"/>
    <col min="3311" max="3311" width="5.42578125" style="125" customWidth="1"/>
    <col min="3312" max="3312" width="4.5703125" style="125" customWidth="1"/>
    <col min="3313" max="3313" width="3.140625" style="125" bestFit="1" customWidth="1"/>
    <col min="3314" max="3314" width="3.7109375" style="125" customWidth="1"/>
    <col min="3315" max="3315" width="8.7109375" style="125" customWidth="1"/>
    <col min="3316" max="3316" width="31.7109375" style="125" customWidth="1"/>
    <col min="3317" max="3317" width="23.42578125" style="125" customWidth="1"/>
    <col min="3318" max="3318" width="5.7109375" style="125" customWidth="1"/>
    <col min="3319" max="3319" width="30.140625" style="125" customWidth="1"/>
    <col min="3320" max="3321" width="31.7109375" style="125" customWidth="1"/>
    <col min="3322" max="3322" width="103.7109375" style="125" customWidth="1"/>
    <col min="3323" max="3330" width="8.7109375" style="125" customWidth="1"/>
    <col min="3331" max="3554" width="8.7109375" style="125"/>
    <col min="3555" max="3555" width="5" style="125" customWidth="1"/>
    <col min="3556" max="3557" width="8.7109375" style="125" customWidth="1"/>
    <col min="3558" max="3558" width="34.7109375" style="125" customWidth="1"/>
    <col min="3559" max="3559" width="2.7109375" style="125" customWidth="1"/>
    <col min="3560" max="3560" width="3" style="125" customWidth="1"/>
    <col min="3561" max="3565" width="6.7109375" style="125" customWidth="1"/>
    <col min="3566" max="3566" width="6.28515625" style="125" customWidth="1"/>
    <col min="3567" max="3567" width="5.42578125" style="125" customWidth="1"/>
    <col min="3568" max="3568" width="4.5703125" style="125" customWidth="1"/>
    <col min="3569" max="3569" width="3.140625" style="125" bestFit="1" customWidth="1"/>
    <col min="3570" max="3570" width="3.7109375" style="125" customWidth="1"/>
    <col min="3571" max="3571" width="8.7109375" style="125" customWidth="1"/>
    <col min="3572" max="3572" width="31.7109375" style="125" customWidth="1"/>
    <col min="3573" max="3573" width="23.42578125" style="125" customWidth="1"/>
    <col min="3574" max="3574" width="5.7109375" style="125" customWidth="1"/>
    <col min="3575" max="3575" width="30.140625" style="125" customWidth="1"/>
    <col min="3576" max="3577" width="31.7109375" style="125" customWidth="1"/>
    <col min="3578" max="3578" width="103.7109375" style="125" customWidth="1"/>
    <col min="3579" max="3586" width="8.7109375" style="125" customWidth="1"/>
    <col min="3587" max="3810" width="8.7109375" style="125"/>
    <col min="3811" max="3811" width="5" style="125" customWidth="1"/>
    <col min="3812" max="3813" width="8.7109375" style="125" customWidth="1"/>
    <col min="3814" max="3814" width="34.7109375" style="125" customWidth="1"/>
    <col min="3815" max="3815" width="2.7109375" style="125" customWidth="1"/>
    <col min="3816" max="3816" width="3" style="125" customWidth="1"/>
    <col min="3817" max="3821" width="6.7109375" style="125" customWidth="1"/>
    <col min="3822" max="3822" width="6.28515625" style="125" customWidth="1"/>
    <col min="3823" max="3823" width="5.42578125" style="125" customWidth="1"/>
    <col min="3824" max="3824" width="4.5703125" style="125" customWidth="1"/>
    <col min="3825" max="3825" width="3.140625" style="125" bestFit="1" customWidth="1"/>
    <col min="3826" max="3826" width="3.7109375" style="125" customWidth="1"/>
    <col min="3827" max="3827" width="8.7109375" style="125" customWidth="1"/>
    <col min="3828" max="3828" width="31.7109375" style="125" customWidth="1"/>
    <col min="3829" max="3829" width="23.42578125" style="125" customWidth="1"/>
    <col min="3830" max="3830" width="5.7109375" style="125" customWidth="1"/>
    <col min="3831" max="3831" width="30.140625" style="125" customWidth="1"/>
    <col min="3832" max="3833" width="31.7109375" style="125" customWidth="1"/>
    <col min="3834" max="3834" width="103.7109375" style="125" customWidth="1"/>
    <col min="3835" max="3842" width="8.7109375" style="125" customWidth="1"/>
    <col min="3843" max="4066" width="8.7109375" style="125"/>
    <col min="4067" max="4067" width="5" style="125" customWidth="1"/>
    <col min="4068" max="4069" width="8.7109375" style="125" customWidth="1"/>
    <col min="4070" max="4070" width="34.7109375" style="125" customWidth="1"/>
    <col min="4071" max="4071" width="2.7109375" style="125" customWidth="1"/>
    <col min="4072" max="4072" width="3" style="125" customWidth="1"/>
    <col min="4073" max="4077" width="6.7109375" style="125" customWidth="1"/>
    <col min="4078" max="4078" width="6.28515625" style="125" customWidth="1"/>
    <col min="4079" max="4079" width="5.42578125" style="125" customWidth="1"/>
    <col min="4080" max="4080" width="4.5703125" style="125" customWidth="1"/>
    <col min="4081" max="4081" width="3.140625" style="125" bestFit="1" customWidth="1"/>
    <col min="4082" max="4082" width="3.7109375" style="125" customWidth="1"/>
    <col min="4083" max="4083" width="8.7109375" style="125" customWidth="1"/>
    <col min="4084" max="4084" width="31.7109375" style="125" customWidth="1"/>
    <col min="4085" max="4085" width="23.42578125" style="125" customWidth="1"/>
    <col min="4086" max="4086" width="5.7109375" style="125" customWidth="1"/>
    <col min="4087" max="4087" width="30.140625" style="125" customWidth="1"/>
    <col min="4088" max="4089" width="31.7109375" style="125" customWidth="1"/>
    <col min="4090" max="4090" width="103.7109375" style="125" customWidth="1"/>
    <col min="4091" max="4098" width="8.7109375" style="125" customWidth="1"/>
    <col min="4099" max="4322" width="8.7109375" style="125"/>
    <col min="4323" max="4323" width="5" style="125" customWidth="1"/>
    <col min="4324" max="4325" width="8.7109375" style="125" customWidth="1"/>
    <col min="4326" max="4326" width="34.7109375" style="125" customWidth="1"/>
    <col min="4327" max="4327" width="2.7109375" style="125" customWidth="1"/>
    <col min="4328" max="4328" width="3" style="125" customWidth="1"/>
    <col min="4329" max="4333" width="6.7109375" style="125" customWidth="1"/>
    <col min="4334" max="4334" width="6.28515625" style="125" customWidth="1"/>
    <col min="4335" max="4335" width="5.42578125" style="125" customWidth="1"/>
    <col min="4336" max="4336" width="4.5703125" style="125" customWidth="1"/>
    <col min="4337" max="4337" width="3.140625" style="125" bestFit="1" customWidth="1"/>
    <col min="4338" max="4338" width="3.7109375" style="125" customWidth="1"/>
    <col min="4339" max="4339" width="8.7109375" style="125" customWidth="1"/>
    <col min="4340" max="4340" width="31.7109375" style="125" customWidth="1"/>
    <col min="4341" max="4341" width="23.42578125" style="125" customWidth="1"/>
    <col min="4342" max="4342" width="5.7109375" style="125" customWidth="1"/>
    <col min="4343" max="4343" width="30.140625" style="125" customWidth="1"/>
    <col min="4344" max="4345" width="31.7109375" style="125" customWidth="1"/>
    <col min="4346" max="4346" width="103.7109375" style="125" customWidth="1"/>
    <col min="4347" max="4354" width="8.7109375" style="125" customWidth="1"/>
    <col min="4355" max="4578" width="8.7109375" style="125"/>
    <col min="4579" max="4579" width="5" style="125" customWidth="1"/>
    <col min="4580" max="4581" width="8.7109375" style="125" customWidth="1"/>
    <col min="4582" max="4582" width="34.7109375" style="125" customWidth="1"/>
    <col min="4583" max="4583" width="2.7109375" style="125" customWidth="1"/>
    <col min="4584" max="4584" width="3" style="125" customWidth="1"/>
    <col min="4585" max="4589" width="6.7109375" style="125" customWidth="1"/>
    <col min="4590" max="4590" width="6.28515625" style="125" customWidth="1"/>
    <col min="4591" max="4591" width="5.42578125" style="125" customWidth="1"/>
    <col min="4592" max="4592" width="4.5703125" style="125" customWidth="1"/>
    <col min="4593" max="4593" width="3.140625" style="125" bestFit="1" customWidth="1"/>
    <col min="4594" max="4594" width="3.7109375" style="125" customWidth="1"/>
    <col min="4595" max="4595" width="8.7109375" style="125" customWidth="1"/>
    <col min="4596" max="4596" width="31.7109375" style="125" customWidth="1"/>
    <col min="4597" max="4597" width="23.42578125" style="125" customWidth="1"/>
    <col min="4598" max="4598" width="5.7109375" style="125" customWidth="1"/>
    <col min="4599" max="4599" width="30.140625" style="125" customWidth="1"/>
    <col min="4600" max="4601" width="31.7109375" style="125" customWidth="1"/>
    <col min="4602" max="4602" width="103.7109375" style="125" customWidth="1"/>
    <col min="4603" max="4610" width="8.7109375" style="125" customWidth="1"/>
    <col min="4611" max="4834" width="8.7109375" style="125"/>
    <col min="4835" max="4835" width="5" style="125" customWidth="1"/>
    <col min="4836" max="4837" width="8.7109375" style="125" customWidth="1"/>
    <col min="4838" max="4838" width="34.7109375" style="125" customWidth="1"/>
    <col min="4839" max="4839" width="2.7109375" style="125" customWidth="1"/>
    <col min="4840" max="4840" width="3" style="125" customWidth="1"/>
    <col min="4841" max="4845" width="6.7109375" style="125" customWidth="1"/>
    <col min="4846" max="4846" width="6.28515625" style="125" customWidth="1"/>
    <col min="4847" max="4847" width="5.42578125" style="125" customWidth="1"/>
    <col min="4848" max="4848" width="4.5703125" style="125" customWidth="1"/>
    <col min="4849" max="4849" width="3.140625" style="125" bestFit="1" customWidth="1"/>
    <col min="4850" max="4850" width="3.7109375" style="125" customWidth="1"/>
    <col min="4851" max="4851" width="8.7109375" style="125" customWidth="1"/>
    <col min="4852" max="4852" width="31.7109375" style="125" customWidth="1"/>
    <col min="4853" max="4853" width="23.42578125" style="125" customWidth="1"/>
    <col min="4854" max="4854" width="5.7109375" style="125" customWidth="1"/>
    <col min="4855" max="4855" width="30.140625" style="125" customWidth="1"/>
    <col min="4856" max="4857" width="31.7109375" style="125" customWidth="1"/>
    <col min="4858" max="4858" width="103.7109375" style="125" customWidth="1"/>
    <col min="4859" max="4866" width="8.7109375" style="125" customWidth="1"/>
    <col min="4867" max="5090" width="8.7109375" style="125"/>
    <col min="5091" max="5091" width="5" style="125" customWidth="1"/>
    <col min="5092" max="5093" width="8.7109375" style="125" customWidth="1"/>
    <col min="5094" max="5094" width="34.7109375" style="125" customWidth="1"/>
    <col min="5095" max="5095" width="2.7109375" style="125" customWidth="1"/>
    <col min="5096" max="5096" width="3" style="125" customWidth="1"/>
    <col min="5097" max="5101" width="6.7109375" style="125" customWidth="1"/>
    <col min="5102" max="5102" width="6.28515625" style="125" customWidth="1"/>
    <col min="5103" max="5103" width="5.42578125" style="125" customWidth="1"/>
    <col min="5104" max="5104" width="4.5703125" style="125" customWidth="1"/>
    <col min="5105" max="5105" width="3.140625" style="125" bestFit="1" customWidth="1"/>
    <col min="5106" max="5106" width="3.7109375" style="125" customWidth="1"/>
    <col min="5107" max="5107" width="8.7109375" style="125" customWidth="1"/>
    <col min="5108" max="5108" width="31.7109375" style="125" customWidth="1"/>
    <col min="5109" max="5109" width="23.42578125" style="125" customWidth="1"/>
    <col min="5110" max="5110" width="5.7109375" style="125" customWidth="1"/>
    <col min="5111" max="5111" width="30.140625" style="125" customWidth="1"/>
    <col min="5112" max="5113" width="31.7109375" style="125" customWidth="1"/>
    <col min="5114" max="5114" width="103.7109375" style="125" customWidth="1"/>
    <col min="5115" max="5122" width="8.7109375" style="125" customWidth="1"/>
    <col min="5123" max="5346" width="8.7109375" style="125"/>
    <col min="5347" max="5347" width="5" style="125" customWidth="1"/>
    <col min="5348" max="5349" width="8.7109375" style="125" customWidth="1"/>
    <col min="5350" max="5350" width="34.7109375" style="125" customWidth="1"/>
    <col min="5351" max="5351" width="2.7109375" style="125" customWidth="1"/>
    <col min="5352" max="5352" width="3" style="125" customWidth="1"/>
    <col min="5353" max="5357" width="6.7109375" style="125" customWidth="1"/>
    <col min="5358" max="5358" width="6.28515625" style="125" customWidth="1"/>
    <col min="5359" max="5359" width="5.42578125" style="125" customWidth="1"/>
    <col min="5360" max="5360" width="4.5703125" style="125" customWidth="1"/>
    <col min="5361" max="5361" width="3.140625" style="125" bestFit="1" customWidth="1"/>
    <col min="5362" max="5362" width="3.7109375" style="125" customWidth="1"/>
    <col min="5363" max="5363" width="8.7109375" style="125" customWidth="1"/>
    <col min="5364" max="5364" width="31.7109375" style="125" customWidth="1"/>
    <col min="5365" max="5365" width="23.42578125" style="125" customWidth="1"/>
    <col min="5366" max="5366" width="5.7109375" style="125" customWidth="1"/>
    <col min="5367" max="5367" width="30.140625" style="125" customWidth="1"/>
    <col min="5368" max="5369" width="31.7109375" style="125" customWidth="1"/>
    <col min="5370" max="5370" width="103.7109375" style="125" customWidth="1"/>
    <col min="5371" max="5378" width="8.7109375" style="125" customWidth="1"/>
    <col min="5379" max="5602" width="8.7109375" style="125"/>
    <col min="5603" max="5603" width="5" style="125" customWidth="1"/>
    <col min="5604" max="5605" width="8.7109375" style="125" customWidth="1"/>
    <col min="5606" max="5606" width="34.7109375" style="125" customWidth="1"/>
    <col min="5607" max="5607" width="2.7109375" style="125" customWidth="1"/>
    <col min="5608" max="5608" width="3" style="125" customWidth="1"/>
    <col min="5609" max="5613" width="6.7109375" style="125" customWidth="1"/>
    <col min="5614" max="5614" width="6.28515625" style="125" customWidth="1"/>
    <col min="5615" max="5615" width="5.42578125" style="125" customWidth="1"/>
    <col min="5616" max="5616" width="4.5703125" style="125" customWidth="1"/>
    <col min="5617" max="5617" width="3.140625" style="125" bestFit="1" customWidth="1"/>
    <col min="5618" max="5618" width="3.7109375" style="125" customWidth="1"/>
    <col min="5619" max="5619" width="8.7109375" style="125" customWidth="1"/>
    <col min="5620" max="5620" width="31.7109375" style="125" customWidth="1"/>
    <col min="5621" max="5621" width="23.42578125" style="125" customWidth="1"/>
    <col min="5622" max="5622" width="5.7109375" style="125" customWidth="1"/>
    <col min="5623" max="5623" width="30.140625" style="125" customWidth="1"/>
    <col min="5624" max="5625" width="31.7109375" style="125" customWidth="1"/>
    <col min="5626" max="5626" width="103.7109375" style="125" customWidth="1"/>
    <col min="5627" max="5634" width="8.7109375" style="125" customWidth="1"/>
    <col min="5635" max="5858" width="8.7109375" style="125"/>
    <col min="5859" max="5859" width="5" style="125" customWidth="1"/>
    <col min="5860" max="5861" width="8.7109375" style="125" customWidth="1"/>
    <col min="5862" max="5862" width="34.7109375" style="125" customWidth="1"/>
    <col min="5863" max="5863" width="2.7109375" style="125" customWidth="1"/>
    <col min="5864" max="5864" width="3" style="125" customWidth="1"/>
    <col min="5865" max="5869" width="6.7109375" style="125" customWidth="1"/>
    <col min="5870" max="5870" width="6.28515625" style="125" customWidth="1"/>
    <col min="5871" max="5871" width="5.42578125" style="125" customWidth="1"/>
    <col min="5872" max="5872" width="4.5703125" style="125" customWidth="1"/>
    <col min="5873" max="5873" width="3.140625" style="125" bestFit="1" customWidth="1"/>
    <col min="5874" max="5874" width="3.7109375" style="125" customWidth="1"/>
    <col min="5875" max="5875" width="8.7109375" style="125" customWidth="1"/>
    <col min="5876" max="5876" width="31.7109375" style="125" customWidth="1"/>
    <col min="5877" max="5877" width="23.42578125" style="125" customWidth="1"/>
    <col min="5878" max="5878" width="5.7109375" style="125" customWidth="1"/>
    <col min="5879" max="5879" width="30.140625" style="125" customWidth="1"/>
    <col min="5880" max="5881" width="31.7109375" style="125" customWidth="1"/>
    <col min="5882" max="5882" width="103.7109375" style="125" customWidth="1"/>
    <col min="5883" max="5890" width="8.7109375" style="125" customWidth="1"/>
    <col min="5891" max="6114" width="8.7109375" style="125"/>
    <col min="6115" max="6115" width="5" style="125" customWidth="1"/>
    <col min="6116" max="6117" width="8.7109375" style="125" customWidth="1"/>
    <col min="6118" max="6118" width="34.7109375" style="125" customWidth="1"/>
    <col min="6119" max="6119" width="2.7109375" style="125" customWidth="1"/>
    <col min="6120" max="6120" width="3" style="125" customWidth="1"/>
    <col min="6121" max="6125" width="6.7109375" style="125" customWidth="1"/>
    <col min="6126" max="6126" width="6.28515625" style="125" customWidth="1"/>
    <col min="6127" max="6127" width="5.42578125" style="125" customWidth="1"/>
    <col min="6128" max="6128" width="4.5703125" style="125" customWidth="1"/>
    <col min="6129" max="6129" width="3.140625" style="125" bestFit="1" customWidth="1"/>
    <col min="6130" max="6130" width="3.7109375" style="125" customWidth="1"/>
    <col min="6131" max="6131" width="8.7109375" style="125" customWidth="1"/>
    <col min="6132" max="6132" width="31.7109375" style="125" customWidth="1"/>
    <col min="6133" max="6133" width="23.42578125" style="125" customWidth="1"/>
    <col min="6134" max="6134" width="5.7109375" style="125" customWidth="1"/>
    <col min="6135" max="6135" width="30.140625" style="125" customWidth="1"/>
    <col min="6136" max="6137" width="31.7109375" style="125" customWidth="1"/>
    <col min="6138" max="6138" width="103.7109375" style="125" customWidth="1"/>
    <col min="6139" max="6146" width="8.7109375" style="125" customWidth="1"/>
    <col min="6147" max="6370" width="8.7109375" style="125"/>
    <col min="6371" max="6371" width="5" style="125" customWidth="1"/>
    <col min="6372" max="6373" width="8.7109375" style="125" customWidth="1"/>
    <col min="6374" max="6374" width="34.7109375" style="125" customWidth="1"/>
    <col min="6375" max="6375" width="2.7109375" style="125" customWidth="1"/>
    <col min="6376" max="6376" width="3" style="125" customWidth="1"/>
    <col min="6377" max="6381" width="6.7109375" style="125" customWidth="1"/>
    <col min="6382" max="6382" width="6.28515625" style="125" customWidth="1"/>
    <col min="6383" max="6383" width="5.42578125" style="125" customWidth="1"/>
    <col min="6384" max="6384" width="4.5703125" style="125" customWidth="1"/>
    <col min="6385" max="6385" width="3.140625" style="125" bestFit="1" customWidth="1"/>
    <col min="6386" max="6386" width="3.7109375" style="125" customWidth="1"/>
    <col min="6387" max="6387" width="8.7109375" style="125" customWidth="1"/>
    <col min="6388" max="6388" width="31.7109375" style="125" customWidth="1"/>
    <col min="6389" max="6389" width="23.42578125" style="125" customWidth="1"/>
    <col min="6390" max="6390" width="5.7109375" style="125" customWidth="1"/>
    <col min="6391" max="6391" width="30.140625" style="125" customWidth="1"/>
    <col min="6392" max="6393" width="31.7109375" style="125" customWidth="1"/>
    <col min="6394" max="6394" width="103.7109375" style="125" customWidth="1"/>
    <col min="6395" max="6402" width="8.7109375" style="125" customWidth="1"/>
    <col min="6403" max="6626" width="8.7109375" style="125"/>
    <col min="6627" max="6627" width="5" style="125" customWidth="1"/>
    <col min="6628" max="6629" width="8.7109375" style="125" customWidth="1"/>
    <col min="6630" max="6630" width="34.7109375" style="125" customWidth="1"/>
    <col min="6631" max="6631" width="2.7109375" style="125" customWidth="1"/>
    <col min="6632" max="6632" width="3" style="125" customWidth="1"/>
    <col min="6633" max="6637" width="6.7109375" style="125" customWidth="1"/>
    <col min="6638" max="6638" width="6.28515625" style="125" customWidth="1"/>
    <col min="6639" max="6639" width="5.42578125" style="125" customWidth="1"/>
    <col min="6640" max="6640" width="4.5703125" style="125" customWidth="1"/>
    <col min="6641" max="6641" width="3.140625" style="125" bestFit="1" customWidth="1"/>
    <col min="6642" max="6642" width="3.7109375" style="125" customWidth="1"/>
    <col min="6643" max="6643" width="8.7109375" style="125" customWidth="1"/>
    <col min="6644" max="6644" width="31.7109375" style="125" customWidth="1"/>
    <col min="6645" max="6645" width="23.42578125" style="125" customWidth="1"/>
    <col min="6646" max="6646" width="5.7109375" style="125" customWidth="1"/>
    <col min="6647" max="6647" width="30.140625" style="125" customWidth="1"/>
    <col min="6648" max="6649" width="31.7109375" style="125" customWidth="1"/>
    <col min="6650" max="6650" width="103.7109375" style="125" customWidth="1"/>
    <col min="6651" max="6658" width="8.7109375" style="125" customWidth="1"/>
    <col min="6659" max="6882" width="8.7109375" style="125"/>
    <col min="6883" max="6883" width="5" style="125" customWidth="1"/>
    <col min="6884" max="6885" width="8.7109375" style="125" customWidth="1"/>
    <col min="6886" max="6886" width="34.7109375" style="125" customWidth="1"/>
    <col min="6887" max="6887" width="2.7109375" style="125" customWidth="1"/>
    <col min="6888" max="6888" width="3" style="125" customWidth="1"/>
    <col min="6889" max="6893" width="6.7109375" style="125" customWidth="1"/>
    <col min="6894" max="6894" width="6.28515625" style="125" customWidth="1"/>
    <col min="6895" max="6895" width="5.42578125" style="125" customWidth="1"/>
    <col min="6896" max="6896" width="4.5703125" style="125" customWidth="1"/>
    <col min="6897" max="6897" width="3.140625" style="125" bestFit="1" customWidth="1"/>
    <col min="6898" max="6898" width="3.7109375" style="125" customWidth="1"/>
    <col min="6899" max="6899" width="8.7109375" style="125" customWidth="1"/>
    <col min="6900" max="6900" width="31.7109375" style="125" customWidth="1"/>
    <col min="6901" max="6901" width="23.42578125" style="125" customWidth="1"/>
    <col min="6902" max="6902" width="5.7109375" style="125" customWidth="1"/>
    <col min="6903" max="6903" width="30.140625" style="125" customWidth="1"/>
    <col min="6904" max="6905" width="31.7109375" style="125" customWidth="1"/>
    <col min="6906" max="6906" width="103.7109375" style="125" customWidth="1"/>
    <col min="6907" max="6914" width="8.7109375" style="125" customWidth="1"/>
    <col min="6915" max="7138" width="8.7109375" style="125"/>
    <col min="7139" max="7139" width="5" style="125" customWidth="1"/>
    <col min="7140" max="7141" width="8.7109375" style="125" customWidth="1"/>
    <col min="7142" max="7142" width="34.7109375" style="125" customWidth="1"/>
    <col min="7143" max="7143" width="2.7109375" style="125" customWidth="1"/>
    <col min="7144" max="7144" width="3" style="125" customWidth="1"/>
    <col min="7145" max="7149" width="6.7109375" style="125" customWidth="1"/>
    <col min="7150" max="7150" width="6.28515625" style="125" customWidth="1"/>
    <col min="7151" max="7151" width="5.42578125" style="125" customWidth="1"/>
    <col min="7152" max="7152" width="4.5703125" style="125" customWidth="1"/>
    <col min="7153" max="7153" width="3.140625" style="125" bestFit="1" customWidth="1"/>
    <col min="7154" max="7154" width="3.7109375" style="125" customWidth="1"/>
    <col min="7155" max="7155" width="8.7109375" style="125" customWidth="1"/>
    <col min="7156" max="7156" width="31.7109375" style="125" customWidth="1"/>
    <col min="7157" max="7157" width="23.42578125" style="125" customWidth="1"/>
    <col min="7158" max="7158" width="5.7109375" style="125" customWidth="1"/>
    <col min="7159" max="7159" width="30.140625" style="125" customWidth="1"/>
    <col min="7160" max="7161" width="31.7109375" style="125" customWidth="1"/>
    <col min="7162" max="7162" width="103.7109375" style="125" customWidth="1"/>
    <col min="7163" max="7170" width="8.7109375" style="125" customWidth="1"/>
    <col min="7171" max="7394" width="8.7109375" style="125"/>
    <col min="7395" max="7395" width="5" style="125" customWidth="1"/>
    <col min="7396" max="7397" width="8.7109375" style="125" customWidth="1"/>
    <col min="7398" max="7398" width="34.7109375" style="125" customWidth="1"/>
    <col min="7399" max="7399" width="2.7109375" style="125" customWidth="1"/>
    <col min="7400" max="7400" width="3" style="125" customWidth="1"/>
    <col min="7401" max="7405" width="6.7109375" style="125" customWidth="1"/>
    <col min="7406" max="7406" width="6.28515625" style="125" customWidth="1"/>
    <col min="7407" max="7407" width="5.42578125" style="125" customWidth="1"/>
    <col min="7408" max="7408" width="4.5703125" style="125" customWidth="1"/>
    <col min="7409" max="7409" width="3.140625" style="125" bestFit="1" customWidth="1"/>
    <col min="7410" max="7410" width="3.7109375" style="125" customWidth="1"/>
    <col min="7411" max="7411" width="8.7109375" style="125" customWidth="1"/>
    <col min="7412" max="7412" width="31.7109375" style="125" customWidth="1"/>
    <col min="7413" max="7413" width="23.42578125" style="125" customWidth="1"/>
    <col min="7414" max="7414" width="5.7109375" style="125" customWidth="1"/>
    <col min="7415" max="7415" width="30.140625" style="125" customWidth="1"/>
    <col min="7416" max="7417" width="31.7109375" style="125" customWidth="1"/>
    <col min="7418" max="7418" width="103.7109375" style="125" customWidth="1"/>
    <col min="7419" max="7426" width="8.7109375" style="125" customWidth="1"/>
    <col min="7427" max="7650" width="8.7109375" style="125"/>
    <col min="7651" max="7651" width="5" style="125" customWidth="1"/>
    <col min="7652" max="7653" width="8.7109375" style="125" customWidth="1"/>
    <col min="7654" max="7654" width="34.7109375" style="125" customWidth="1"/>
    <col min="7655" max="7655" width="2.7109375" style="125" customWidth="1"/>
    <col min="7656" max="7656" width="3" style="125" customWidth="1"/>
    <col min="7657" max="7661" width="6.7109375" style="125" customWidth="1"/>
    <col min="7662" max="7662" width="6.28515625" style="125" customWidth="1"/>
    <col min="7663" max="7663" width="5.42578125" style="125" customWidth="1"/>
    <col min="7664" max="7664" width="4.5703125" style="125" customWidth="1"/>
    <col min="7665" max="7665" width="3.140625" style="125" bestFit="1" customWidth="1"/>
    <col min="7666" max="7666" width="3.7109375" style="125" customWidth="1"/>
    <col min="7667" max="7667" width="8.7109375" style="125" customWidth="1"/>
    <col min="7668" max="7668" width="31.7109375" style="125" customWidth="1"/>
    <col min="7669" max="7669" width="23.42578125" style="125" customWidth="1"/>
    <col min="7670" max="7670" width="5.7109375" style="125" customWidth="1"/>
    <col min="7671" max="7671" width="30.140625" style="125" customWidth="1"/>
    <col min="7672" max="7673" width="31.7109375" style="125" customWidth="1"/>
    <col min="7674" max="7674" width="103.7109375" style="125" customWidth="1"/>
    <col min="7675" max="7682" width="8.7109375" style="125" customWidth="1"/>
    <col min="7683" max="7906" width="8.7109375" style="125"/>
    <col min="7907" max="7907" width="5" style="125" customWidth="1"/>
    <col min="7908" max="7909" width="8.7109375" style="125" customWidth="1"/>
    <col min="7910" max="7910" width="34.7109375" style="125" customWidth="1"/>
    <col min="7911" max="7911" width="2.7109375" style="125" customWidth="1"/>
    <col min="7912" max="7912" width="3" style="125" customWidth="1"/>
    <col min="7913" max="7917" width="6.7109375" style="125" customWidth="1"/>
    <col min="7918" max="7918" width="6.28515625" style="125" customWidth="1"/>
    <col min="7919" max="7919" width="5.42578125" style="125" customWidth="1"/>
    <col min="7920" max="7920" width="4.5703125" style="125" customWidth="1"/>
    <col min="7921" max="7921" width="3.140625" style="125" bestFit="1" customWidth="1"/>
    <col min="7922" max="7922" width="3.7109375" style="125" customWidth="1"/>
    <col min="7923" max="7923" width="8.7109375" style="125" customWidth="1"/>
    <col min="7924" max="7924" width="31.7109375" style="125" customWidth="1"/>
    <col min="7925" max="7925" width="23.42578125" style="125" customWidth="1"/>
    <col min="7926" max="7926" width="5.7109375" style="125" customWidth="1"/>
    <col min="7927" max="7927" width="30.140625" style="125" customWidth="1"/>
    <col min="7928" max="7929" width="31.7109375" style="125" customWidth="1"/>
    <col min="7930" max="7930" width="103.7109375" style="125" customWidth="1"/>
    <col min="7931" max="7938" width="8.7109375" style="125" customWidth="1"/>
    <col min="7939" max="8162" width="8.7109375" style="125"/>
    <col min="8163" max="8163" width="5" style="125" customWidth="1"/>
    <col min="8164" max="8165" width="8.7109375" style="125" customWidth="1"/>
    <col min="8166" max="8166" width="34.7109375" style="125" customWidth="1"/>
    <col min="8167" max="8167" width="2.7109375" style="125" customWidth="1"/>
    <col min="8168" max="8168" width="3" style="125" customWidth="1"/>
    <col min="8169" max="8173" width="6.7109375" style="125" customWidth="1"/>
    <col min="8174" max="8174" width="6.28515625" style="125" customWidth="1"/>
    <col min="8175" max="8175" width="5.42578125" style="125" customWidth="1"/>
    <col min="8176" max="8176" width="4.5703125" style="125" customWidth="1"/>
    <col min="8177" max="8177" width="3.140625" style="125" bestFit="1" customWidth="1"/>
    <col min="8178" max="8178" width="3.7109375" style="125" customWidth="1"/>
    <col min="8179" max="8179" width="8.7109375" style="125" customWidth="1"/>
    <col min="8180" max="8180" width="31.7109375" style="125" customWidth="1"/>
    <col min="8181" max="8181" width="23.42578125" style="125" customWidth="1"/>
    <col min="8182" max="8182" width="5.7109375" style="125" customWidth="1"/>
    <col min="8183" max="8183" width="30.140625" style="125" customWidth="1"/>
    <col min="8184" max="8185" width="31.7109375" style="125" customWidth="1"/>
    <col min="8186" max="8186" width="103.7109375" style="125" customWidth="1"/>
    <col min="8187" max="8194" width="8.7109375" style="125" customWidth="1"/>
    <col min="8195" max="8418" width="8.7109375" style="125"/>
    <col min="8419" max="8419" width="5" style="125" customWidth="1"/>
    <col min="8420" max="8421" width="8.7109375" style="125" customWidth="1"/>
    <col min="8422" max="8422" width="34.7109375" style="125" customWidth="1"/>
    <col min="8423" max="8423" width="2.7109375" style="125" customWidth="1"/>
    <col min="8424" max="8424" width="3" style="125" customWidth="1"/>
    <col min="8425" max="8429" width="6.7109375" style="125" customWidth="1"/>
    <col min="8430" max="8430" width="6.28515625" style="125" customWidth="1"/>
    <col min="8431" max="8431" width="5.42578125" style="125" customWidth="1"/>
    <col min="8432" max="8432" width="4.5703125" style="125" customWidth="1"/>
    <col min="8433" max="8433" width="3.140625" style="125" bestFit="1" customWidth="1"/>
    <col min="8434" max="8434" width="3.7109375" style="125" customWidth="1"/>
    <col min="8435" max="8435" width="8.7109375" style="125" customWidth="1"/>
    <col min="8436" max="8436" width="31.7109375" style="125" customWidth="1"/>
    <col min="8437" max="8437" width="23.42578125" style="125" customWidth="1"/>
    <col min="8438" max="8438" width="5.7109375" style="125" customWidth="1"/>
    <col min="8439" max="8439" width="30.140625" style="125" customWidth="1"/>
    <col min="8440" max="8441" width="31.7109375" style="125" customWidth="1"/>
    <col min="8442" max="8442" width="103.7109375" style="125" customWidth="1"/>
    <col min="8443" max="8450" width="8.7109375" style="125" customWidth="1"/>
    <col min="8451" max="8674" width="8.7109375" style="125"/>
    <col min="8675" max="8675" width="5" style="125" customWidth="1"/>
    <col min="8676" max="8677" width="8.7109375" style="125" customWidth="1"/>
    <col min="8678" max="8678" width="34.7109375" style="125" customWidth="1"/>
    <col min="8679" max="8679" width="2.7109375" style="125" customWidth="1"/>
    <col min="8680" max="8680" width="3" style="125" customWidth="1"/>
    <col min="8681" max="8685" width="6.7109375" style="125" customWidth="1"/>
    <col min="8686" max="8686" width="6.28515625" style="125" customWidth="1"/>
    <col min="8687" max="8687" width="5.42578125" style="125" customWidth="1"/>
    <col min="8688" max="8688" width="4.5703125" style="125" customWidth="1"/>
    <col min="8689" max="8689" width="3.140625" style="125" bestFit="1" customWidth="1"/>
    <col min="8690" max="8690" width="3.7109375" style="125" customWidth="1"/>
    <col min="8691" max="8691" width="8.7109375" style="125" customWidth="1"/>
    <col min="8692" max="8692" width="31.7109375" style="125" customWidth="1"/>
    <col min="8693" max="8693" width="23.42578125" style="125" customWidth="1"/>
    <col min="8694" max="8694" width="5.7109375" style="125" customWidth="1"/>
    <col min="8695" max="8695" width="30.140625" style="125" customWidth="1"/>
    <col min="8696" max="8697" width="31.7109375" style="125" customWidth="1"/>
    <col min="8698" max="8698" width="103.7109375" style="125" customWidth="1"/>
    <col min="8699" max="8706" width="8.7109375" style="125" customWidth="1"/>
    <col min="8707" max="8930" width="8.7109375" style="125"/>
    <col min="8931" max="8931" width="5" style="125" customWidth="1"/>
    <col min="8932" max="8933" width="8.7109375" style="125" customWidth="1"/>
    <col min="8934" max="8934" width="34.7109375" style="125" customWidth="1"/>
    <col min="8935" max="8935" width="2.7109375" style="125" customWidth="1"/>
    <col min="8936" max="8936" width="3" style="125" customWidth="1"/>
    <col min="8937" max="8941" width="6.7109375" style="125" customWidth="1"/>
    <col min="8942" max="8942" width="6.28515625" style="125" customWidth="1"/>
    <col min="8943" max="8943" width="5.42578125" style="125" customWidth="1"/>
    <col min="8944" max="8944" width="4.5703125" style="125" customWidth="1"/>
    <col min="8945" max="8945" width="3.140625" style="125" bestFit="1" customWidth="1"/>
    <col min="8946" max="8946" width="3.7109375" style="125" customWidth="1"/>
    <col min="8947" max="8947" width="8.7109375" style="125" customWidth="1"/>
    <col min="8948" max="8948" width="31.7109375" style="125" customWidth="1"/>
    <col min="8949" max="8949" width="23.42578125" style="125" customWidth="1"/>
    <col min="8950" max="8950" width="5.7109375" style="125" customWidth="1"/>
    <col min="8951" max="8951" width="30.140625" style="125" customWidth="1"/>
    <col min="8952" max="8953" width="31.7109375" style="125" customWidth="1"/>
    <col min="8954" max="8954" width="103.7109375" style="125" customWidth="1"/>
    <col min="8955" max="8962" width="8.7109375" style="125" customWidth="1"/>
    <col min="8963" max="9186" width="8.7109375" style="125"/>
    <col min="9187" max="9187" width="5" style="125" customWidth="1"/>
    <col min="9188" max="9189" width="8.7109375" style="125" customWidth="1"/>
    <col min="9190" max="9190" width="34.7109375" style="125" customWidth="1"/>
    <col min="9191" max="9191" width="2.7109375" style="125" customWidth="1"/>
    <col min="9192" max="9192" width="3" style="125" customWidth="1"/>
    <col min="9193" max="9197" width="6.7109375" style="125" customWidth="1"/>
    <col min="9198" max="9198" width="6.28515625" style="125" customWidth="1"/>
    <col min="9199" max="9199" width="5.42578125" style="125" customWidth="1"/>
    <col min="9200" max="9200" width="4.5703125" style="125" customWidth="1"/>
    <col min="9201" max="9201" width="3.140625" style="125" bestFit="1" customWidth="1"/>
    <col min="9202" max="9202" width="3.7109375" style="125" customWidth="1"/>
    <col min="9203" max="9203" width="8.7109375" style="125" customWidth="1"/>
    <col min="9204" max="9204" width="31.7109375" style="125" customWidth="1"/>
    <col min="9205" max="9205" width="23.42578125" style="125" customWidth="1"/>
    <col min="9206" max="9206" width="5.7109375" style="125" customWidth="1"/>
    <col min="9207" max="9207" width="30.140625" style="125" customWidth="1"/>
    <col min="9208" max="9209" width="31.7109375" style="125" customWidth="1"/>
    <col min="9210" max="9210" width="103.7109375" style="125" customWidth="1"/>
    <col min="9211" max="9218" width="8.7109375" style="125" customWidth="1"/>
    <col min="9219" max="9442" width="8.7109375" style="125"/>
    <col min="9443" max="9443" width="5" style="125" customWidth="1"/>
    <col min="9444" max="9445" width="8.7109375" style="125" customWidth="1"/>
    <col min="9446" max="9446" width="34.7109375" style="125" customWidth="1"/>
    <col min="9447" max="9447" width="2.7109375" style="125" customWidth="1"/>
    <col min="9448" max="9448" width="3" style="125" customWidth="1"/>
    <col min="9449" max="9453" width="6.7109375" style="125" customWidth="1"/>
    <col min="9454" max="9454" width="6.28515625" style="125" customWidth="1"/>
    <col min="9455" max="9455" width="5.42578125" style="125" customWidth="1"/>
    <col min="9456" max="9456" width="4.5703125" style="125" customWidth="1"/>
    <col min="9457" max="9457" width="3.140625" style="125" bestFit="1" customWidth="1"/>
    <col min="9458" max="9458" width="3.7109375" style="125" customWidth="1"/>
    <col min="9459" max="9459" width="8.7109375" style="125" customWidth="1"/>
    <col min="9460" max="9460" width="31.7109375" style="125" customWidth="1"/>
    <col min="9461" max="9461" width="23.42578125" style="125" customWidth="1"/>
    <col min="9462" max="9462" width="5.7109375" style="125" customWidth="1"/>
    <col min="9463" max="9463" width="30.140625" style="125" customWidth="1"/>
    <col min="9464" max="9465" width="31.7109375" style="125" customWidth="1"/>
    <col min="9466" max="9466" width="103.7109375" style="125" customWidth="1"/>
    <col min="9467" max="9474" width="8.7109375" style="125" customWidth="1"/>
    <col min="9475" max="9698" width="8.7109375" style="125"/>
    <col min="9699" max="9699" width="5" style="125" customWidth="1"/>
    <col min="9700" max="9701" width="8.7109375" style="125" customWidth="1"/>
    <col min="9702" max="9702" width="34.7109375" style="125" customWidth="1"/>
    <col min="9703" max="9703" width="2.7109375" style="125" customWidth="1"/>
    <col min="9704" max="9704" width="3" style="125" customWidth="1"/>
    <col min="9705" max="9709" width="6.7109375" style="125" customWidth="1"/>
    <col min="9710" max="9710" width="6.28515625" style="125" customWidth="1"/>
    <col min="9711" max="9711" width="5.42578125" style="125" customWidth="1"/>
    <col min="9712" max="9712" width="4.5703125" style="125" customWidth="1"/>
    <col min="9713" max="9713" width="3.140625" style="125" bestFit="1" customWidth="1"/>
    <col min="9714" max="9714" width="3.7109375" style="125" customWidth="1"/>
    <col min="9715" max="9715" width="8.7109375" style="125" customWidth="1"/>
    <col min="9716" max="9716" width="31.7109375" style="125" customWidth="1"/>
    <col min="9717" max="9717" width="23.42578125" style="125" customWidth="1"/>
    <col min="9718" max="9718" width="5.7109375" style="125" customWidth="1"/>
    <col min="9719" max="9719" width="30.140625" style="125" customWidth="1"/>
    <col min="9720" max="9721" width="31.7109375" style="125" customWidth="1"/>
    <col min="9722" max="9722" width="103.7109375" style="125" customWidth="1"/>
    <col min="9723" max="9730" width="8.7109375" style="125" customWidth="1"/>
    <col min="9731" max="9954" width="8.7109375" style="125"/>
    <col min="9955" max="9955" width="5" style="125" customWidth="1"/>
    <col min="9956" max="9957" width="8.7109375" style="125" customWidth="1"/>
    <col min="9958" max="9958" width="34.7109375" style="125" customWidth="1"/>
    <col min="9959" max="9959" width="2.7109375" style="125" customWidth="1"/>
    <col min="9960" max="9960" width="3" style="125" customWidth="1"/>
    <col min="9961" max="9965" width="6.7109375" style="125" customWidth="1"/>
    <col min="9966" max="9966" width="6.28515625" style="125" customWidth="1"/>
    <col min="9967" max="9967" width="5.42578125" style="125" customWidth="1"/>
    <col min="9968" max="9968" width="4.5703125" style="125" customWidth="1"/>
    <col min="9969" max="9969" width="3.140625" style="125" bestFit="1" customWidth="1"/>
    <col min="9970" max="9970" width="3.7109375" style="125" customWidth="1"/>
    <col min="9971" max="9971" width="8.7109375" style="125" customWidth="1"/>
    <col min="9972" max="9972" width="31.7109375" style="125" customWidth="1"/>
    <col min="9973" max="9973" width="23.42578125" style="125" customWidth="1"/>
    <col min="9974" max="9974" width="5.7109375" style="125" customWidth="1"/>
    <col min="9975" max="9975" width="30.140625" style="125" customWidth="1"/>
    <col min="9976" max="9977" width="31.7109375" style="125" customWidth="1"/>
    <col min="9978" max="9978" width="103.7109375" style="125" customWidth="1"/>
    <col min="9979" max="9986" width="8.7109375" style="125" customWidth="1"/>
    <col min="9987" max="10210" width="8.7109375" style="125"/>
    <col min="10211" max="10211" width="5" style="125" customWidth="1"/>
    <col min="10212" max="10213" width="8.7109375" style="125" customWidth="1"/>
    <col min="10214" max="10214" width="34.7109375" style="125" customWidth="1"/>
    <col min="10215" max="10215" width="2.7109375" style="125" customWidth="1"/>
    <col min="10216" max="10216" width="3" style="125" customWidth="1"/>
    <col min="10217" max="10221" width="6.7109375" style="125" customWidth="1"/>
    <col min="10222" max="10222" width="6.28515625" style="125" customWidth="1"/>
    <col min="10223" max="10223" width="5.42578125" style="125" customWidth="1"/>
    <col min="10224" max="10224" width="4.5703125" style="125" customWidth="1"/>
    <col min="10225" max="10225" width="3.140625" style="125" bestFit="1" customWidth="1"/>
    <col min="10226" max="10226" width="3.7109375" style="125" customWidth="1"/>
    <col min="10227" max="10227" width="8.7109375" style="125" customWidth="1"/>
    <col min="10228" max="10228" width="31.7109375" style="125" customWidth="1"/>
    <col min="10229" max="10229" width="23.42578125" style="125" customWidth="1"/>
    <col min="10230" max="10230" width="5.7109375" style="125" customWidth="1"/>
    <col min="10231" max="10231" width="30.140625" style="125" customWidth="1"/>
    <col min="10232" max="10233" width="31.7109375" style="125" customWidth="1"/>
    <col min="10234" max="10234" width="103.7109375" style="125" customWidth="1"/>
    <col min="10235" max="10242" width="8.7109375" style="125" customWidth="1"/>
    <col min="10243" max="10466" width="8.7109375" style="125"/>
    <col min="10467" max="10467" width="5" style="125" customWidth="1"/>
    <col min="10468" max="10469" width="8.7109375" style="125" customWidth="1"/>
    <col min="10470" max="10470" width="34.7109375" style="125" customWidth="1"/>
    <col min="10471" max="10471" width="2.7109375" style="125" customWidth="1"/>
    <col min="10472" max="10472" width="3" style="125" customWidth="1"/>
    <col min="10473" max="10477" width="6.7109375" style="125" customWidth="1"/>
    <col min="10478" max="10478" width="6.28515625" style="125" customWidth="1"/>
    <col min="10479" max="10479" width="5.42578125" style="125" customWidth="1"/>
    <col min="10480" max="10480" width="4.5703125" style="125" customWidth="1"/>
    <col min="10481" max="10481" width="3.140625" style="125" bestFit="1" customWidth="1"/>
    <col min="10482" max="10482" width="3.7109375" style="125" customWidth="1"/>
    <col min="10483" max="10483" width="8.7109375" style="125" customWidth="1"/>
    <col min="10484" max="10484" width="31.7109375" style="125" customWidth="1"/>
    <col min="10485" max="10485" width="23.42578125" style="125" customWidth="1"/>
    <col min="10486" max="10486" width="5.7109375" style="125" customWidth="1"/>
    <col min="10487" max="10487" width="30.140625" style="125" customWidth="1"/>
    <col min="10488" max="10489" width="31.7109375" style="125" customWidth="1"/>
    <col min="10490" max="10490" width="103.7109375" style="125" customWidth="1"/>
    <col min="10491" max="10498" width="8.7109375" style="125" customWidth="1"/>
    <col min="10499" max="10722" width="8.7109375" style="125"/>
    <col min="10723" max="10723" width="5" style="125" customWidth="1"/>
    <col min="10724" max="10725" width="8.7109375" style="125" customWidth="1"/>
    <col min="10726" max="10726" width="34.7109375" style="125" customWidth="1"/>
    <col min="10727" max="10727" width="2.7109375" style="125" customWidth="1"/>
    <col min="10728" max="10728" width="3" style="125" customWidth="1"/>
    <col min="10729" max="10733" width="6.7109375" style="125" customWidth="1"/>
    <col min="10734" max="10734" width="6.28515625" style="125" customWidth="1"/>
    <col min="10735" max="10735" width="5.42578125" style="125" customWidth="1"/>
    <col min="10736" max="10736" width="4.5703125" style="125" customWidth="1"/>
    <col min="10737" max="10737" width="3.140625" style="125" bestFit="1" customWidth="1"/>
    <col min="10738" max="10738" width="3.7109375" style="125" customWidth="1"/>
    <col min="10739" max="10739" width="8.7109375" style="125" customWidth="1"/>
    <col min="10740" max="10740" width="31.7109375" style="125" customWidth="1"/>
    <col min="10741" max="10741" width="23.42578125" style="125" customWidth="1"/>
    <col min="10742" max="10742" width="5.7109375" style="125" customWidth="1"/>
    <col min="10743" max="10743" width="30.140625" style="125" customWidth="1"/>
    <col min="10744" max="10745" width="31.7109375" style="125" customWidth="1"/>
    <col min="10746" max="10746" width="103.7109375" style="125" customWidth="1"/>
    <col min="10747" max="10754" width="8.7109375" style="125" customWidth="1"/>
    <col min="10755" max="10978" width="8.7109375" style="125"/>
    <col min="10979" max="10979" width="5" style="125" customWidth="1"/>
    <col min="10980" max="10981" width="8.7109375" style="125" customWidth="1"/>
    <col min="10982" max="10982" width="34.7109375" style="125" customWidth="1"/>
    <col min="10983" max="10983" width="2.7109375" style="125" customWidth="1"/>
    <col min="10984" max="10984" width="3" style="125" customWidth="1"/>
    <col min="10985" max="10989" width="6.7109375" style="125" customWidth="1"/>
    <col min="10990" max="10990" width="6.28515625" style="125" customWidth="1"/>
    <col min="10991" max="10991" width="5.42578125" style="125" customWidth="1"/>
    <col min="10992" max="10992" width="4.5703125" style="125" customWidth="1"/>
    <col min="10993" max="10993" width="3.140625" style="125" bestFit="1" customWidth="1"/>
    <col min="10994" max="10994" width="3.7109375" style="125" customWidth="1"/>
    <col min="10995" max="10995" width="8.7109375" style="125" customWidth="1"/>
    <col min="10996" max="10996" width="31.7109375" style="125" customWidth="1"/>
    <col min="10997" max="10997" width="23.42578125" style="125" customWidth="1"/>
    <col min="10998" max="10998" width="5.7109375" style="125" customWidth="1"/>
    <col min="10999" max="10999" width="30.140625" style="125" customWidth="1"/>
    <col min="11000" max="11001" width="31.7109375" style="125" customWidth="1"/>
    <col min="11002" max="11002" width="103.7109375" style="125" customWidth="1"/>
    <col min="11003" max="11010" width="8.7109375" style="125" customWidth="1"/>
    <col min="11011" max="11234" width="8.7109375" style="125"/>
    <col min="11235" max="11235" width="5" style="125" customWidth="1"/>
    <col min="11236" max="11237" width="8.7109375" style="125" customWidth="1"/>
    <col min="11238" max="11238" width="34.7109375" style="125" customWidth="1"/>
    <col min="11239" max="11239" width="2.7109375" style="125" customWidth="1"/>
    <col min="11240" max="11240" width="3" style="125" customWidth="1"/>
    <col min="11241" max="11245" width="6.7109375" style="125" customWidth="1"/>
    <col min="11246" max="11246" width="6.28515625" style="125" customWidth="1"/>
    <col min="11247" max="11247" width="5.42578125" style="125" customWidth="1"/>
    <col min="11248" max="11248" width="4.5703125" style="125" customWidth="1"/>
    <col min="11249" max="11249" width="3.140625" style="125" bestFit="1" customWidth="1"/>
    <col min="11250" max="11250" width="3.7109375" style="125" customWidth="1"/>
    <col min="11251" max="11251" width="8.7109375" style="125" customWidth="1"/>
    <col min="11252" max="11252" width="31.7109375" style="125" customWidth="1"/>
    <col min="11253" max="11253" width="23.42578125" style="125" customWidth="1"/>
    <col min="11254" max="11254" width="5.7109375" style="125" customWidth="1"/>
    <col min="11255" max="11255" width="30.140625" style="125" customWidth="1"/>
    <col min="11256" max="11257" width="31.7109375" style="125" customWidth="1"/>
    <col min="11258" max="11258" width="103.7109375" style="125" customWidth="1"/>
    <col min="11259" max="11266" width="8.7109375" style="125" customWidth="1"/>
    <col min="11267" max="11490" width="8.7109375" style="125"/>
    <col min="11491" max="11491" width="5" style="125" customWidth="1"/>
    <col min="11492" max="11493" width="8.7109375" style="125" customWidth="1"/>
    <col min="11494" max="11494" width="34.7109375" style="125" customWidth="1"/>
    <col min="11495" max="11495" width="2.7109375" style="125" customWidth="1"/>
    <col min="11496" max="11496" width="3" style="125" customWidth="1"/>
    <col min="11497" max="11501" width="6.7109375" style="125" customWidth="1"/>
    <col min="11502" max="11502" width="6.28515625" style="125" customWidth="1"/>
    <col min="11503" max="11503" width="5.42578125" style="125" customWidth="1"/>
    <col min="11504" max="11504" width="4.5703125" style="125" customWidth="1"/>
    <col min="11505" max="11505" width="3.140625" style="125" bestFit="1" customWidth="1"/>
    <col min="11506" max="11506" width="3.7109375" style="125" customWidth="1"/>
    <col min="11507" max="11507" width="8.7109375" style="125" customWidth="1"/>
    <col min="11508" max="11508" width="31.7109375" style="125" customWidth="1"/>
    <col min="11509" max="11509" width="23.42578125" style="125" customWidth="1"/>
    <col min="11510" max="11510" width="5.7109375" style="125" customWidth="1"/>
    <col min="11511" max="11511" width="30.140625" style="125" customWidth="1"/>
    <col min="11512" max="11513" width="31.7109375" style="125" customWidth="1"/>
    <col min="11514" max="11514" width="103.7109375" style="125" customWidth="1"/>
    <col min="11515" max="11522" width="8.7109375" style="125" customWidth="1"/>
    <col min="11523" max="11746" width="8.7109375" style="125"/>
    <col min="11747" max="11747" width="5" style="125" customWidth="1"/>
    <col min="11748" max="11749" width="8.7109375" style="125" customWidth="1"/>
    <col min="11750" max="11750" width="34.7109375" style="125" customWidth="1"/>
    <col min="11751" max="11751" width="2.7109375" style="125" customWidth="1"/>
    <col min="11752" max="11752" width="3" style="125" customWidth="1"/>
    <col min="11753" max="11757" width="6.7109375" style="125" customWidth="1"/>
    <col min="11758" max="11758" width="6.28515625" style="125" customWidth="1"/>
    <col min="11759" max="11759" width="5.42578125" style="125" customWidth="1"/>
    <col min="11760" max="11760" width="4.5703125" style="125" customWidth="1"/>
    <col min="11761" max="11761" width="3.140625" style="125" bestFit="1" customWidth="1"/>
    <col min="11762" max="11762" width="3.7109375" style="125" customWidth="1"/>
    <col min="11763" max="11763" width="8.7109375" style="125" customWidth="1"/>
    <col min="11764" max="11764" width="31.7109375" style="125" customWidth="1"/>
    <col min="11765" max="11765" width="23.42578125" style="125" customWidth="1"/>
    <col min="11766" max="11766" width="5.7109375" style="125" customWidth="1"/>
    <col min="11767" max="11767" width="30.140625" style="125" customWidth="1"/>
    <col min="11768" max="11769" width="31.7109375" style="125" customWidth="1"/>
    <col min="11770" max="11770" width="103.7109375" style="125" customWidth="1"/>
    <col min="11771" max="11778" width="8.7109375" style="125" customWidth="1"/>
    <col min="11779" max="12002" width="8.7109375" style="125"/>
    <col min="12003" max="12003" width="5" style="125" customWidth="1"/>
    <col min="12004" max="12005" width="8.7109375" style="125" customWidth="1"/>
    <col min="12006" max="12006" width="34.7109375" style="125" customWidth="1"/>
    <col min="12007" max="12007" width="2.7109375" style="125" customWidth="1"/>
    <col min="12008" max="12008" width="3" style="125" customWidth="1"/>
    <col min="12009" max="12013" width="6.7109375" style="125" customWidth="1"/>
    <col min="12014" max="12014" width="6.28515625" style="125" customWidth="1"/>
    <col min="12015" max="12015" width="5.42578125" style="125" customWidth="1"/>
    <col min="12016" max="12016" width="4.5703125" style="125" customWidth="1"/>
    <col min="12017" max="12017" width="3.140625" style="125" bestFit="1" customWidth="1"/>
    <col min="12018" max="12018" width="3.7109375" style="125" customWidth="1"/>
    <col min="12019" max="12019" width="8.7109375" style="125" customWidth="1"/>
    <col min="12020" max="12020" width="31.7109375" style="125" customWidth="1"/>
    <col min="12021" max="12021" width="23.42578125" style="125" customWidth="1"/>
    <col min="12022" max="12022" width="5.7109375" style="125" customWidth="1"/>
    <col min="12023" max="12023" width="30.140625" style="125" customWidth="1"/>
    <col min="12024" max="12025" width="31.7109375" style="125" customWidth="1"/>
    <col min="12026" max="12026" width="103.7109375" style="125" customWidth="1"/>
    <col min="12027" max="12034" width="8.7109375" style="125" customWidth="1"/>
    <col min="12035" max="12258" width="8.7109375" style="125"/>
    <col min="12259" max="12259" width="5" style="125" customWidth="1"/>
    <col min="12260" max="12261" width="8.7109375" style="125" customWidth="1"/>
    <col min="12262" max="12262" width="34.7109375" style="125" customWidth="1"/>
    <col min="12263" max="12263" width="2.7109375" style="125" customWidth="1"/>
    <col min="12264" max="12264" width="3" style="125" customWidth="1"/>
    <col min="12265" max="12269" width="6.7109375" style="125" customWidth="1"/>
    <col min="12270" max="12270" width="6.28515625" style="125" customWidth="1"/>
    <col min="12271" max="12271" width="5.42578125" style="125" customWidth="1"/>
    <col min="12272" max="12272" width="4.5703125" style="125" customWidth="1"/>
    <col min="12273" max="12273" width="3.140625" style="125" bestFit="1" customWidth="1"/>
    <col min="12274" max="12274" width="3.7109375" style="125" customWidth="1"/>
    <col min="12275" max="12275" width="8.7109375" style="125" customWidth="1"/>
    <col min="12276" max="12276" width="31.7109375" style="125" customWidth="1"/>
    <col min="12277" max="12277" width="23.42578125" style="125" customWidth="1"/>
    <col min="12278" max="12278" width="5.7109375" style="125" customWidth="1"/>
    <col min="12279" max="12279" width="30.140625" style="125" customWidth="1"/>
    <col min="12280" max="12281" width="31.7109375" style="125" customWidth="1"/>
    <col min="12282" max="12282" width="103.7109375" style="125" customWidth="1"/>
    <col min="12283" max="12290" width="8.7109375" style="125" customWidth="1"/>
    <col min="12291" max="12514" width="8.7109375" style="125"/>
    <col min="12515" max="12515" width="5" style="125" customWidth="1"/>
    <col min="12516" max="12517" width="8.7109375" style="125" customWidth="1"/>
    <col min="12518" max="12518" width="34.7109375" style="125" customWidth="1"/>
    <col min="12519" max="12519" width="2.7109375" style="125" customWidth="1"/>
    <col min="12520" max="12520" width="3" style="125" customWidth="1"/>
    <col min="12521" max="12525" width="6.7109375" style="125" customWidth="1"/>
    <col min="12526" max="12526" width="6.28515625" style="125" customWidth="1"/>
    <col min="12527" max="12527" width="5.42578125" style="125" customWidth="1"/>
    <col min="12528" max="12528" width="4.5703125" style="125" customWidth="1"/>
    <col min="12529" max="12529" width="3.140625" style="125" bestFit="1" customWidth="1"/>
    <col min="12530" max="12530" width="3.7109375" style="125" customWidth="1"/>
    <col min="12531" max="12531" width="8.7109375" style="125" customWidth="1"/>
    <col min="12532" max="12532" width="31.7109375" style="125" customWidth="1"/>
    <col min="12533" max="12533" width="23.42578125" style="125" customWidth="1"/>
    <col min="12534" max="12534" width="5.7109375" style="125" customWidth="1"/>
    <col min="12535" max="12535" width="30.140625" style="125" customWidth="1"/>
    <col min="12536" max="12537" width="31.7109375" style="125" customWidth="1"/>
    <col min="12538" max="12538" width="103.7109375" style="125" customWidth="1"/>
    <col min="12539" max="12546" width="8.7109375" style="125" customWidth="1"/>
    <col min="12547" max="12770" width="8.7109375" style="125"/>
    <col min="12771" max="12771" width="5" style="125" customWidth="1"/>
    <col min="12772" max="12773" width="8.7109375" style="125" customWidth="1"/>
    <col min="12774" max="12774" width="34.7109375" style="125" customWidth="1"/>
    <col min="12775" max="12775" width="2.7109375" style="125" customWidth="1"/>
    <col min="12776" max="12776" width="3" style="125" customWidth="1"/>
    <col min="12777" max="12781" width="6.7109375" style="125" customWidth="1"/>
    <col min="12782" max="12782" width="6.28515625" style="125" customWidth="1"/>
    <col min="12783" max="12783" width="5.42578125" style="125" customWidth="1"/>
    <col min="12784" max="12784" width="4.5703125" style="125" customWidth="1"/>
    <col min="12785" max="12785" width="3.140625" style="125" bestFit="1" customWidth="1"/>
    <col min="12786" max="12786" width="3.7109375" style="125" customWidth="1"/>
    <col min="12787" max="12787" width="8.7109375" style="125" customWidth="1"/>
    <col min="12788" max="12788" width="31.7109375" style="125" customWidth="1"/>
    <col min="12789" max="12789" width="23.42578125" style="125" customWidth="1"/>
    <col min="12790" max="12790" width="5.7109375" style="125" customWidth="1"/>
    <col min="12791" max="12791" width="30.140625" style="125" customWidth="1"/>
    <col min="12792" max="12793" width="31.7109375" style="125" customWidth="1"/>
    <col min="12794" max="12794" width="103.7109375" style="125" customWidth="1"/>
    <col min="12795" max="12802" width="8.7109375" style="125" customWidth="1"/>
    <col min="12803" max="13026" width="8.7109375" style="125"/>
    <col min="13027" max="13027" width="5" style="125" customWidth="1"/>
    <col min="13028" max="13029" width="8.7109375" style="125" customWidth="1"/>
    <col min="13030" max="13030" width="34.7109375" style="125" customWidth="1"/>
    <col min="13031" max="13031" width="2.7109375" style="125" customWidth="1"/>
    <col min="13032" max="13032" width="3" style="125" customWidth="1"/>
    <col min="13033" max="13037" width="6.7109375" style="125" customWidth="1"/>
    <col min="13038" max="13038" width="6.28515625" style="125" customWidth="1"/>
    <col min="13039" max="13039" width="5.42578125" style="125" customWidth="1"/>
    <col min="13040" max="13040" width="4.5703125" style="125" customWidth="1"/>
    <col min="13041" max="13041" width="3.140625" style="125" bestFit="1" customWidth="1"/>
    <col min="13042" max="13042" width="3.7109375" style="125" customWidth="1"/>
    <col min="13043" max="13043" width="8.7109375" style="125" customWidth="1"/>
    <col min="13044" max="13044" width="31.7109375" style="125" customWidth="1"/>
    <col min="13045" max="13045" width="23.42578125" style="125" customWidth="1"/>
    <col min="13046" max="13046" width="5.7109375" style="125" customWidth="1"/>
    <col min="13047" max="13047" width="30.140625" style="125" customWidth="1"/>
    <col min="13048" max="13049" width="31.7109375" style="125" customWidth="1"/>
    <col min="13050" max="13050" width="103.7109375" style="125" customWidth="1"/>
    <col min="13051" max="13058" width="8.7109375" style="125" customWidth="1"/>
    <col min="13059" max="13282" width="8.7109375" style="125"/>
    <col min="13283" max="13283" width="5" style="125" customWidth="1"/>
    <col min="13284" max="13285" width="8.7109375" style="125" customWidth="1"/>
    <col min="13286" max="13286" width="34.7109375" style="125" customWidth="1"/>
    <col min="13287" max="13287" width="2.7109375" style="125" customWidth="1"/>
    <col min="13288" max="13288" width="3" style="125" customWidth="1"/>
    <col min="13289" max="13293" width="6.7109375" style="125" customWidth="1"/>
    <col min="13294" max="13294" width="6.28515625" style="125" customWidth="1"/>
    <col min="13295" max="13295" width="5.42578125" style="125" customWidth="1"/>
    <col min="13296" max="13296" width="4.5703125" style="125" customWidth="1"/>
    <col min="13297" max="13297" width="3.140625" style="125" bestFit="1" customWidth="1"/>
    <col min="13298" max="13298" width="3.7109375" style="125" customWidth="1"/>
    <col min="13299" max="13299" width="8.7109375" style="125" customWidth="1"/>
    <col min="13300" max="13300" width="31.7109375" style="125" customWidth="1"/>
    <col min="13301" max="13301" width="23.42578125" style="125" customWidth="1"/>
    <col min="13302" max="13302" width="5.7109375" style="125" customWidth="1"/>
    <col min="13303" max="13303" width="30.140625" style="125" customWidth="1"/>
    <col min="13304" max="13305" width="31.7109375" style="125" customWidth="1"/>
    <col min="13306" max="13306" width="103.7109375" style="125" customWidth="1"/>
    <col min="13307" max="13314" width="8.7109375" style="125" customWidth="1"/>
    <col min="13315" max="13538" width="8.7109375" style="125"/>
    <col min="13539" max="13539" width="5" style="125" customWidth="1"/>
    <col min="13540" max="13541" width="8.7109375" style="125" customWidth="1"/>
    <col min="13542" max="13542" width="34.7109375" style="125" customWidth="1"/>
    <col min="13543" max="13543" width="2.7109375" style="125" customWidth="1"/>
    <col min="13544" max="13544" width="3" style="125" customWidth="1"/>
    <col min="13545" max="13549" width="6.7109375" style="125" customWidth="1"/>
    <col min="13550" max="13550" width="6.28515625" style="125" customWidth="1"/>
    <col min="13551" max="13551" width="5.42578125" style="125" customWidth="1"/>
    <col min="13552" max="13552" width="4.5703125" style="125" customWidth="1"/>
    <col min="13553" max="13553" width="3.140625" style="125" bestFit="1" customWidth="1"/>
    <col min="13554" max="13554" width="3.7109375" style="125" customWidth="1"/>
    <col min="13555" max="13555" width="8.7109375" style="125" customWidth="1"/>
    <col min="13556" max="13556" width="31.7109375" style="125" customWidth="1"/>
    <col min="13557" max="13557" width="23.42578125" style="125" customWidth="1"/>
    <col min="13558" max="13558" width="5.7109375" style="125" customWidth="1"/>
    <col min="13559" max="13559" width="30.140625" style="125" customWidth="1"/>
    <col min="13560" max="13561" width="31.7109375" style="125" customWidth="1"/>
    <col min="13562" max="13562" width="103.7109375" style="125" customWidth="1"/>
    <col min="13563" max="13570" width="8.7109375" style="125" customWidth="1"/>
    <col min="13571" max="13794" width="8.7109375" style="125"/>
    <col min="13795" max="13795" width="5" style="125" customWidth="1"/>
    <col min="13796" max="13797" width="8.7109375" style="125" customWidth="1"/>
    <col min="13798" max="13798" width="34.7109375" style="125" customWidth="1"/>
    <col min="13799" max="13799" width="2.7109375" style="125" customWidth="1"/>
    <col min="13800" max="13800" width="3" style="125" customWidth="1"/>
    <col min="13801" max="13805" width="6.7109375" style="125" customWidth="1"/>
    <col min="13806" max="13806" width="6.28515625" style="125" customWidth="1"/>
    <col min="13807" max="13807" width="5.42578125" style="125" customWidth="1"/>
    <col min="13808" max="13808" width="4.5703125" style="125" customWidth="1"/>
    <col min="13809" max="13809" width="3.140625" style="125" bestFit="1" customWidth="1"/>
    <col min="13810" max="13810" width="3.7109375" style="125" customWidth="1"/>
    <col min="13811" max="13811" width="8.7109375" style="125" customWidth="1"/>
    <col min="13812" max="13812" width="31.7109375" style="125" customWidth="1"/>
    <col min="13813" max="13813" width="23.42578125" style="125" customWidth="1"/>
    <col min="13814" max="13814" width="5.7109375" style="125" customWidth="1"/>
    <col min="13815" max="13815" width="30.140625" style="125" customWidth="1"/>
    <col min="13816" max="13817" width="31.7109375" style="125" customWidth="1"/>
    <col min="13818" max="13818" width="103.7109375" style="125" customWidth="1"/>
    <col min="13819" max="13826" width="8.7109375" style="125" customWidth="1"/>
    <col min="13827" max="14050" width="8.7109375" style="125"/>
    <col min="14051" max="14051" width="5" style="125" customWidth="1"/>
    <col min="14052" max="14053" width="8.7109375" style="125" customWidth="1"/>
    <col min="14054" max="14054" width="34.7109375" style="125" customWidth="1"/>
    <col min="14055" max="14055" width="2.7109375" style="125" customWidth="1"/>
    <col min="14056" max="14056" width="3" style="125" customWidth="1"/>
    <col min="14057" max="14061" width="6.7109375" style="125" customWidth="1"/>
    <col min="14062" max="14062" width="6.28515625" style="125" customWidth="1"/>
    <col min="14063" max="14063" width="5.42578125" style="125" customWidth="1"/>
    <col min="14064" max="14064" width="4.5703125" style="125" customWidth="1"/>
    <col min="14065" max="14065" width="3.140625" style="125" bestFit="1" customWidth="1"/>
    <col min="14066" max="14066" width="3.7109375" style="125" customWidth="1"/>
    <col min="14067" max="14067" width="8.7109375" style="125" customWidth="1"/>
    <col min="14068" max="14068" width="31.7109375" style="125" customWidth="1"/>
    <col min="14069" max="14069" width="23.42578125" style="125" customWidth="1"/>
    <col min="14070" max="14070" width="5.7109375" style="125" customWidth="1"/>
    <col min="14071" max="14071" width="30.140625" style="125" customWidth="1"/>
    <col min="14072" max="14073" width="31.7109375" style="125" customWidth="1"/>
    <col min="14074" max="14074" width="103.7109375" style="125" customWidth="1"/>
    <col min="14075" max="14082" width="8.7109375" style="125" customWidth="1"/>
    <col min="14083" max="14306" width="8.7109375" style="125"/>
    <col min="14307" max="14307" width="5" style="125" customWidth="1"/>
    <col min="14308" max="14309" width="8.7109375" style="125" customWidth="1"/>
    <col min="14310" max="14310" width="34.7109375" style="125" customWidth="1"/>
    <col min="14311" max="14311" width="2.7109375" style="125" customWidth="1"/>
    <col min="14312" max="14312" width="3" style="125" customWidth="1"/>
    <col min="14313" max="14317" width="6.7109375" style="125" customWidth="1"/>
    <col min="14318" max="14318" width="6.28515625" style="125" customWidth="1"/>
    <col min="14319" max="14319" width="5.42578125" style="125" customWidth="1"/>
    <col min="14320" max="14320" width="4.5703125" style="125" customWidth="1"/>
    <col min="14321" max="14321" width="3.140625" style="125" bestFit="1" customWidth="1"/>
    <col min="14322" max="14322" width="3.7109375" style="125" customWidth="1"/>
    <col min="14323" max="14323" width="8.7109375" style="125" customWidth="1"/>
    <col min="14324" max="14324" width="31.7109375" style="125" customWidth="1"/>
    <col min="14325" max="14325" width="23.42578125" style="125" customWidth="1"/>
    <col min="14326" max="14326" width="5.7109375" style="125" customWidth="1"/>
    <col min="14327" max="14327" width="30.140625" style="125" customWidth="1"/>
    <col min="14328" max="14329" width="31.7109375" style="125" customWidth="1"/>
    <col min="14330" max="14330" width="103.7109375" style="125" customWidth="1"/>
    <col min="14331" max="14338" width="8.7109375" style="125" customWidth="1"/>
    <col min="14339" max="14562" width="8.7109375" style="125"/>
    <col min="14563" max="14563" width="5" style="125" customWidth="1"/>
    <col min="14564" max="14565" width="8.7109375" style="125" customWidth="1"/>
    <col min="14566" max="14566" width="34.7109375" style="125" customWidth="1"/>
    <col min="14567" max="14567" width="2.7109375" style="125" customWidth="1"/>
    <col min="14568" max="14568" width="3" style="125" customWidth="1"/>
    <col min="14569" max="14573" width="6.7109375" style="125" customWidth="1"/>
    <col min="14574" max="14574" width="6.28515625" style="125" customWidth="1"/>
    <col min="14575" max="14575" width="5.42578125" style="125" customWidth="1"/>
    <col min="14576" max="14576" width="4.5703125" style="125" customWidth="1"/>
    <col min="14577" max="14577" width="3.140625" style="125" bestFit="1" customWidth="1"/>
    <col min="14578" max="14578" width="3.7109375" style="125" customWidth="1"/>
    <col min="14579" max="14579" width="8.7109375" style="125" customWidth="1"/>
    <col min="14580" max="14580" width="31.7109375" style="125" customWidth="1"/>
    <col min="14581" max="14581" width="23.42578125" style="125" customWidth="1"/>
    <col min="14582" max="14582" width="5.7109375" style="125" customWidth="1"/>
    <col min="14583" max="14583" width="30.140625" style="125" customWidth="1"/>
    <col min="14584" max="14585" width="31.7109375" style="125" customWidth="1"/>
    <col min="14586" max="14586" width="103.7109375" style="125" customWidth="1"/>
    <col min="14587" max="14594" width="8.7109375" style="125" customWidth="1"/>
    <col min="14595" max="14818" width="8.7109375" style="125"/>
    <col min="14819" max="14819" width="5" style="125" customWidth="1"/>
    <col min="14820" max="14821" width="8.7109375" style="125" customWidth="1"/>
    <col min="14822" max="14822" width="34.7109375" style="125" customWidth="1"/>
    <col min="14823" max="14823" width="2.7109375" style="125" customWidth="1"/>
    <col min="14824" max="14824" width="3" style="125" customWidth="1"/>
    <col min="14825" max="14829" width="6.7109375" style="125" customWidth="1"/>
    <col min="14830" max="14830" width="6.28515625" style="125" customWidth="1"/>
    <col min="14831" max="14831" width="5.42578125" style="125" customWidth="1"/>
    <col min="14832" max="14832" width="4.5703125" style="125" customWidth="1"/>
    <col min="14833" max="14833" width="3.140625" style="125" bestFit="1" customWidth="1"/>
    <col min="14834" max="14834" width="3.7109375" style="125" customWidth="1"/>
    <col min="14835" max="14835" width="8.7109375" style="125" customWidth="1"/>
    <col min="14836" max="14836" width="31.7109375" style="125" customWidth="1"/>
    <col min="14837" max="14837" width="23.42578125" style="125" customWidth="1"/>
    <col min="14838" max="14838" width="5.7109375" style="125" customWidth="1"/>
    <col min="14839" max="14839" width="30.140625" style="125" customWidth="1"/>
    <col min="14840" max="14841" width="31.7109375" style="125" customWidth="1"/>
    <col min="14842" max="14842" width="103.7109375" style="125" customWidth="1"/>
    <col min="14843" max="14850" width="8.7109375" style="125" customWidth="1"/>
    <col min="14851" max="15074" width="8.7109375" style="125"/>
    <col min="15075" max="15075" width="5" style="125" customWidth="1"/>
    <col min="15076" max="15077" width="8.7109375" style="125" customWidth="1"/>
    <col min="15078" max="15078" width="34.7109375" style="125" customWidth="1"/>
    <col min="15079" max="15079" width="2.7109375" style="125" customWidth="1"/>
    <col min="15080" max="15080" width="3" style="125" customWidth="1"/>
    <col min="15081" max="15085" width="6.7109375" style="125" customWidth="1"/>
    <col min="15086" max="15086" width="6.28515625" style="125" customWidth="1"/>
    <col min="15087" max="15087" width="5.42578125" style="125" customWidth="1"/>
    <col min="15088" max="15088" width="4.5703125" style="125" customWidth="1"/>
    <col min="15089" max="15089" width="3.140625" style="125" bestFit="1" customWidth="1"/>
    <col min="15090" max="15090" width="3.7109375" style="125" customWidth="1"/>
    <col min="15091" max="15091" width="8.7109375" style="125" customWidth="1"/>
    <col min="15092" max="15092" width="31.7109375" style="125" customWidth="1"/>
    <col min="15093" max="15093" width="23.42578125" style="125" customWidth="1"/>
    <col min="15094" max="15094" width="5.7109375" style="125" customWidth="1"/>
    <col min="15095" max="15095" width="30.140625" style="125" customWidth="1"/>
    <col min="15096" max="15097" width="31.7109375" style="125" customWidth="1"/>
    <col min="15098" max="15098" width="103.7109375" style="125" customWidth="1"/>
    <col min="15099" max="15106" width="8.7109375" style="125" customWidth="1"/>
    <col min="15107" max="15330" width="8.7109375" style="125"/>
    <col min="15331" max="15331" width="5" style="125" customWidth="1"/>
    <col min="15332" max="15333" width="8.7109375" style="125" customWidth="1"/>
    <col min="15334" max="15334" width="34.7109375" style="125" customWidth="1"/>
    <col min="15335" max="15335" width="2.7109375" style="125" customWidth="1"/>
    <col min="15336" max="15336" width="3" style="125" customWidth="1"/>
    <col min="15337" max="15341" width="6.7109375" style="125" customWidth="1"/>
    <col min="15342" max="15342" width="6.28515625" style="125" customWidth="1"/>
    <col min="15343" max="15343" width="5.42578125" style="125" customWidth="1"/>
    <col min="15344" max="15344" width="4.5703125" style="125" customWidth="1"/>
    <col min="15345" max="15345" width="3.140625" style="125" bestFit="1" customWidth="1"/>
    <col min="15346" max="15346" width="3.7109375" style="125" customWidth="1"/>
    <col min="15347" max="15347" width="8.7109375" style="125" customWidth="1"/>
    <col min="15348" max="15348" width="31.7109375" style="125" customWidth="1"/>
    <col min="15349" max="15349" width="23.42578125" style="125" customWidth="1"/>
    <col min="15350" max="15350" width="5.7109375" style="125" customWidth="1"/>
    <col min="15351" max="15351" width="30.140625" style="125" customWidth="1"/>
    <col min="15352" max="15353" width="31.7109375" style="125" customWidth="1"/>
    <col min="15354" max="15354" width="103.7109375" style="125" customWidth="1"/>
    <col min="15355" max="15362" width="8.7109375" style="125" customWidth="1"/>
    <col min="15363" max="15586" width="8.7109375" style="125"/>
    <col min="15587" max="15587" width="5" style="125" customWidth="1"/>
    <col min="15588" max="15589" width="8.7109375" style="125" customWidth="1"/>
    <col min="15590" max="15590" width="34.7109375" style="125" customWidth="1"/>
    <col min="15591" max="15591" width="2.7109375" style="125" customWidth="1"/>
    <col min="15592" max="15592" width="3" style="125" customWidth="1"/>
    <col min="15593" max="15597" width="6.7109375" style="125" customWidth="1"/>
    <col min="15598" max="15598" width="6.28515625" style="125" customWidth="1"/>
    <col min="15599" max="15599" width="5.42578125" style="125" customWidth="1"/>
    <col min="15600" max="15600" width="4.5703125" style="125" customWidth="1"/>
    <col min="15601" max="15601" width="3.140625" style="125" bestFit="1" customWidth="1"/>
    <col min="15602" max="15602" width="3.7109375" style="125" customWidth="1"/>
    <col min="15603" max="15603" width="8.7109375" style="125" customWidth="1"/>
    <col min="15604" max="15604" width="31.7109375" style="125" customWidth="1"/>
    <col min="15605" max="15605" width="23.42578125" style="125" customWidth="1"/>
    <col min="15606" max="15606" width="5.7109375" style="125" customWidth="1"/>
    <col min="15607" max="15607" width="30.140625" style="125" customWidth="1"/>
    <col min="15608" max="15609" width="31.7109375" style="125" customWidth="1"/>
    <col min="15610" max="15610" width="103.7109375" style="125" customWidth="1"/>
    <col min="15611" max="15618" width="8.7109375" style="125" customWidth="1"/>
    <col min="15619" max="15842" width="8.7109375" style="125"/>
    <col min="15843" max="15843" width="5" style="125" customWidth="1"/>
    <col min="15844" max="15845" width="8.7109375" style="125" customWidth="1"/>
    <col min="15846" max="15846" width="34.7109375" style="125" customWidth="1"/>
    <col min="15847" max="15847" width="2.7109375" style="125" customWidth="1"/>
    <col min="15848" max="15848" width="3" style="125" customWidth="1"/>
    <col min="15849" max="15853" width="6.7109375" style="125" customWidth="1"/>
    <col min="15854" max="15854" width="6.28515625" style="125" customWidth="1"/>
    <col min="15855" max="15855" width="5.42578125" style="125" customWidth="1"/>
    <col min="15856" max="15856" width="4.5703125" style="125" customWidth="1"/>
    <col min="15857" max="15857" width="3.140625" style="125" bestFit="1" customWidth="1"/>
    <col min="15858" max="15858" width="3.7109375" style="125" customWidth="1"/>
    <col min="15859" max="15859" width="8.7109375" style="125" customWidth="1"/>
    <col min="15860" max="15860" width="31.7109375" style="125" customWidth="1"/>
    <col min="15861" max="15861" width="23.42578125" style="125" customWidth="1"/>
    <col min="15862" max="15862" width="5.7109375" style="125" customWidth="1"/>
    <col min="15863" max="15863" width="30.140625" style="125" customWidth="1"/>
    <col min="15864" max="15865" width="31.7109375" style="125" customWidth="1"/>
    <col min="15866" max="15866" width="103.7109375" style="125" customWidth="1"/>
    <col min="15867" max="15874" width="8.7109375" style="125" customWidth="1"/>
    <col min="15875" max="16098" width="8.7109375" style="125"/>
    <col min="16099" max="16099" width="5" style="125" customWidth="1"/>
    <col min="16100" max="16101" width="8.7109375" style="125" customWidth="1"/>
    <col min="16102" max="16102" width="34.7109375" style="125" customWidth="1"/>
    <col min="16103" max="16103" width="2.7109375" style="125" customWidth="1"/>
    <col min="16104" max="16104" width="3" style="125" customWidth="1"/>
    <col min="16105" max="16109" width="6.7109375" style="125" customWidth="1"/>
    <col min="16110" max="16110" width="6.28515625" style="125" customWidth="1"/>
    <col min="16111" max="16111" width="5.42578125" style="125" customWidth="1"/>
    <col min="16112" max="16112" width="4.5703125" style="125" customWidth="1"/>
    <col min="16113" max="16113" width="3.140625" style="125" bestFit="1" customWidth="1"/>
    <col min="16114" max="16114" width="3.7109375" style="125" customWidth="1"/>
    <col min="16115" max="16115" width="8.7109375" style="125" customWidth="1"/>
    <col min="16116" max="16116" width="31.7109375" style="125" customWidth="1"/>
    <col min="16117" max="16117" width="23.42578125" style="125" customWidth="1"/>
    <col min="16118" max="16118" width="5.7109375" style="125" customWidth="1"/>
    <col min="16119" max="16119" width="30.140625" style="125" customWidth="1"/>
    <col min="16120" max="16121" width="31.7109375" style="125" customWidth="1"/>
    <col min="16122" max="16122" width="103.7109375" style="125" customWidth="1"/>
    <col min="16123" max="16130" width="8.7109375" style="125" customWidth="1"/>
    <col min="16131" max="16384" width="8.7109375" style="125"/>
  </cols>
  <sheetData>
    <row r="1" spans="1:20" s="97" customFormat="1" ht="24" hidden="1" customHeight="1" x14ac:dyDescent="0.25">
      <c r="A1" s="86">
        <v>0</v>
      </c>
      <c r="B1" s="87" t="s">
        <v>15</v>
      </c>
      <c r="C1" s="88"/>
      <c r="D1" s="89"/>
      <c r="E1" s="90"/>
      <c r="F1" s="90"/>
      <c r="G1" s="91"/>
      <c r="H1" s="92"/>
      <c r="I1" s="91"/>
      <c r="J1" s="93"/>
      <c r="K1" s="93"/>
      <c r="L1" s="93"/>
      <c r="M1" s="94"/>
      <c r="N1" s="94"/>
      <c r="O1" s="95"/>
      <c r="P1" s="88"/>
      <c r="Q1" s="88"/>
      <c r="R1" s="96"/>
    </row>
    <row r="2" spans="1:20" s="107" customFormat="1" ht="16.149999999999999" hidden="1" customHeight="1" x14ac:dyDescent="0.25">
      <c r="A2" s="98">
        <v>0</v>
      </c>
      <c r="B2" s="99"/>
      <c r="C2" s="98"/>
      <c r="D2" s="99"/>
      <c r="E2" s="98"/>
      <c r="F2" s="98"/>
      <c r="G2" s="100"/>
      <c r="H2" s="101" t="s">
        <v>16</v>
      </c>
      <c r="I2" s="100"/>
      <c r="J2" s="102"/>
      <c r="K2" s="102"/>
      <c r="L2" s="102" t="s">
        <v>17</v>
      </c>
      <c r="M2" s="103"/>
      <c r="N2" s="103"/>
      <c r="O2" s="104"/>
      <c r="P2" s="98" t="s">
        <v>18</v>
      </c>
      <c r="Q2" s="105"/>
      <c r="R2" s="106" t="s">
        <v>19</v>
      </c>
      <c r="S2" s="107" t="s">
        <v>20</v>
      </c>
    </row>
    <row r="3" spans="1:20" s="117" customFormat="1" ht="49.5" hidden="1" customHeight="1" x14ac:dyDescent="0.25">
      <c r="A3" s="108" t="s">
        <v>21</v>
      </c>
      <c r="B3" s="109" t="s">
        <v>22</v>
      </c>
      <c r="C3" s="110" t="s">
        <v>23</v>
      </c>
      <c r="D3" s="109"/>
      <c r="E3" s="110"/>
      <c r="F3" s="110"/>
      <c r="G3" s="111" t="s">
        <v>28</v>
      </c>
      <c r="H3" s="112" t="s">
        <v>24</v>
      </c>
      <c r="I3" s="111" t="s">
        <v>27</v>
      </c>
      <c r="J3" s="113" t="s">
        <v>25</v>
      </c>
      <c r="K3" s="113" t="s">
        <v>26</v>
      </c>
      <c r="L3" s="113" t="s">
        <v>29</v>
      </c>
      <c r="M3" s="111" t="s">
        <v>30</v>
      </c>
      <c r="N3" s="111" t="s">
        <v>31</v>
      </c>
      <c r="O3" s="111" t="s">
        <v>32</v>
      </c>
      <c r="P3" s="110" t="s">
        <v>33</v>
      </c>
      <c r="Q3" s="114"/>
      <c r="R3" s="115"/>
      <c r="S3" s="116">
        <v>41968</v>
      </c>
      <c r="T3" s="117" t="s">
        <v>34</v>
      </c>
    </row>
    <row r="4" spans="1:20" s="97" customFormat="1" ht="24" customHeight="1" x14ac:dyDescent="0.25">
      <c r="A4" s="86">
        <v>0</v>
      </c>
      <c r="B4" s="89"/>
      <c r="C4" s="90"/>
      <c r="D4" s="139" t="s">
        <v>121</v>
      </c>
      <c r="E4" s="88"/>
      <c r="F4" s="88"/>
      <c r="G4" s="91"/>
      <c r="H4" s="92"/>
      <c r="I4" s="91"/>
      <c r="J4" s="93"/>
      <c r="K4" s="93"/>
      <c r="L4" s="93"/>
      <c r="M4" s="94"/>
      <c r="N4" s="94"/>
      <c r="O4" s="95"/>
      <c r="P4" s="88"/>
      <c r="Q4" s="88"/>
      <c r="R4" s="96"/>
    </row>
    <row r="5" spans="1:20" s="117" customFormat="1" ht="52.5" customHeight="1" x14ac:dyDescent="0.25">
      <c r="A5" s="118" t="s">
        <v>21</v>
      </c>
      <c r="B5" s="119" t="s">
        <v>22</v>
      </c>
      <c r="C5" s="120"/>
      <c r="D5" s="140" t="s">
        <v>267</v>
      </c>
      <c r="E5" s="267" t="s">
        <v>35</v>
      </c>
      <c r="F5" s="267" t="s">
        <v>174</v>
      </c>
      <c r="G5" s="268" t="s">
        <v>167</v>
      </c>
      <c r="H5" s="269" t="s">
        <v>168</v>
      </c>
      <c r="I5" s="268" t="s">
        <v>169</v>
      </c>
      <c r="J5" s="270" t="s">
        <v>170</v>
      </c>
      <c r="K5" s="270" t="s">
        <v>171</v>
      </c>
      <c r="L5" s="271" t="s">
        <v>135</v>
      </c>
      <c r="M5" s="121" t="s">
        <v>36</v>
      </c>
      <c r="N5" s="121" t="s">
        <v>37</v>
      </c>
      <c r="O5" s="121" t="s">
        <v>38</v>
      </c>
      <c r="P5" s="122" t="s">
        <v>33</v>
      </c>
      <c r="Q5" s="123"/>
      <c r="R5" s="115"/>
      <c r="S5" s="117" t="s">
        <v>39</v>
      </c>
    </row>
    <row r="6" spans="1:20" s="155" customFormat="1" ht="18" customHeight="1" x14ac:dyDescent="0.25">
      <c r="A6" s="141">
        <v>0</v>
      </c>
      <c r="B6" s="142" t="s">
        <v>40</v>
      </c>
      <c r="C6" s="143"/>
      <c r="D6" s="144" t="s">
        <v>134</v>
      </c>
      <c r="E6" s="145"/>
      <c r="F6" s="145"/>
      <c r="G6" s="146"/>
      <c r="H6" s="147"/>
      <c r="I6" s="146"/>
      <c r="J6" s="148"/>
      <c r="K6" s="148"/>
      <c r="L6" s="149"/>
      <c r="M6" s="150"/>
      <c r="N6" s="151"/>
      <c r="O6" s="151"/>
      <c r="P6" s="152"/>
      <c r="Q6" s="153"/>
      <c r="R6" s="154"/>
    </row>
    <row r="7" spans="1:20" s="172" customFormat="1" ht="15" x14ac:dyDescent="0.25">
      <c r="A7" s="156">
        <v>102</v>
      </c>
      <c r="B7" s="157" t="s">
        <v>74</v>
      </c>
      <c r="C7" s="158" t="s">
        <v>41</v>
      </c>
      <c r="D7" s="159" t="s">
        <v>271</v>
      </c>
      <c r="E7" s="160" t="s">
        <v>41</v>
      </c>
      <c r="F7" s="161">
        <v>3</v>
      </c>
      <c r="G7" s="162">
        <v>2.2400000000000002</v>
      </c>
      <c r="H7" s="163">
        <f t="shared" ref="H7:H20" si="0">IF(F7="","",VLOOKUP(F7,F$45:H$65,3,FALSE)*G7)</f>
        <v>41.955200000000005</v>
      </c>
      <c r="I7" s="164">
        <f t="shared" ref="I7:I20" si="1">IF(G7="","",G7*H$65+H7)</f>
        <v>53.155200000000008</v>
      </c>
      <c r="J7" s="165">
        <v>40.909999999999997</v>
      </c>
      <c r="K7" s="166">
        <v>115</v>
      </c>
      <c r="L7" s="167">
        <v>320</v>
      </c>
      <c r="M7" s="168"/>
      <c r="N7" s="168"/>
      <c r="O7" s="168"/>
      <c r="P7" s="169">
        <v>1</v>
      </c>
      <c r="Q7" s="170">
        <f>A7</f>
        <v>102</v>
      </c>
      <c r="R7" s="171" t="s">
        <v>42</v>
      </c>
      <c r="S7" s="172">
        <v>4023</v>
      </c>
      <c r="T7" s="155"/>
    </row>
    <row r="8" spans="1:20" s="172" customFormat="1" ht="15" x14ac:dyDescent="0.25">
      <c r="A8" s="156" t="s">
        <v>83</v>
      </c>
      <c r="B8" s="173" t="s">
        <v>88</v>
      </c>
      <c r="C8" s="174" t="s">
        <v>41</v>
      </c>
      <c r="D8" s="175" t="s">
        <v>272</v>
      </c>
      <c r="E8" s="176" t="s">
        <v>41</v>
      </c>
      <c r="F8" s="177" t="s">
        <v>196</v>
      </c>
      <c r="G8" s="162">
        <v>0.77</v>
      </c>
      <c r="H8" s="163">
        <f t="shared" si="0"/>
        <v>17.7562</v>
      </c>
      <c r="I8" s="164">
        <f t="shared" si="1"/>
        <v>21.606200000000001</v>
      </c>
      <c r="J8" s="178">
        <v>8.89</v>
      </c>
      <c r="K8" s="179">
        <v>39</v>
      </c>
      <c r="L8" s="180">
        <v>140</v>
      </c>
      <c r="M8" s="168">
        <v>0</v>
      </c>
      <c r="N8" s="168"/>
      <c r="O8" s="168"/>
      <c r="P8" s="169">
        <v>1</v>
      </c>
      <c r="Q8" s="170" t="str">
        <f>A8</f>
        <v>A</v>
      </c>
      <c r="R8" s="171" t="s">
        <v>81</v>
      </c>
      <c r="S8" s="172" t="s">
        <v>82</v>
      </c>
      <c r="T8" s="155"/>
    </row>
    <row r="9" spans="1:20" s="172" customFormat="1" ht="15" x14ac:dyDescent="0.25">
      <c r="A9" s="156">
        <v>103</v>
      </c>
      <c r="B9" s="157" t="s">
        <v>75</v>
      </c>
      <c r="C9" s="174" t="s">
        <v>41</v>
      </c>
      <c r="D9" s="159" t="s">
        <v>273</v>
      </c>
      <c r="E9" s="176" t="s">
        <v>41</v>
      </c>
      <c r="F9" s="177" t="s">
        <v>194</v>
      </c>
      <c r="G9" s="162">
        <v>1.06</v>
      </c>
      <c r="H9" s="163">
        <f t="shared" si="0"/>
        <v>16.864599999999999</v>
      </c>
      <c r="I9" s="164">
        <f t="shared" si="1"/>
        <v>22.1646</v>
      </c>
      <c r="J9" s="178">
        <v>6.69</v>
      </c>
      <c r="K9" s="179">
        <v>39</v>
      </c>
      <c r="L9" s="180">
        <v>140</v>
      </c>
      <c r="M9" s="168"/>
      <c r="N9" s="168"/>
      <c r="O9" s="168"/>
      <c r="P9" s="169">
        <v>1</v>
      </c>
      <c r="Q9" s="170">
        <f t="shared" ref="Q9:Q29" si="2">A9</f>
        <v>103</v>
      </c>
      <c r="R9" s="171" t="s">
        <v>42</v>
      </c>
      <c r="S9" s="172">
        <v>4005</v>
      </c>
      <c r="T9" s="155"/>
    </row>
    <row r="10" spans="1:20" s="172" customFormat="1" ht="15" x14ac:dyDescent="0.25">
      <c r="A10" s="156">
        <v>104</v>
      </c>
      <c r="B10" s="157" t="s">
        <v>76</v>
      </c>
      <c r="C10" s="174" t="s">
        <v>41</v>
      </c>
      <c r="D10" s="159" t="s">
        <v>274</v>
      </c>
      <c r="E10" s="176" t="s">
        <v>41</v>
      </c>
      <c r="F10" s="177" t="s">
        <v>194</v>
      </c>
      <c r="G10" s="162">
        <v>0.93</v>
      </c>
      <c r="H10" s="163">
        <f t="shared" si="0"/>
        <v>14.7963</v>
      </c>
      <c r="I10" s="164">
        <f t="shared" si="1"/>
        <v>19.446300000000001</v>
      </c>
      <c r="J10" s="178">
        <v>10.8</v>
      </c>
      <c r="K10" s="179">
        <v>45</v>
      </c>
      <c r="L10" s="180">
        <v>140</v>
      </c>
      <c r="M10" s="168"/>
      <c r="N10" s="168"/>
      <c r="O10" s="168"/>
      <c r="P10" s="169">
        <v>1</v>
      </c>
      <c r="Q10" s="170">
        <f t="shared" si="2"/>
        <v>104</v>
      </c>
      <c r="R10" s="171" t="s">
        <v>42</v>
      </c>
      <c r="S10" s="172">
        <v>4038</v>
      </c>
      <c r="T10" s="155"/>
    </row>
    <row r="11" spans="1:20" s="172" customFormat="1" ht="15" x14ac:dyDescent="0.25">
      <c r="A11" s="156" t="s">
        <v>58</v>
      </c>
      <c r="B11" s="173" t="s">
        <v>89</v>
      </c>
      <c r="C11" s="174" t="s">
        <v>41</v>
      </c>
      <c r="D11" s="175" t="s">
        <v>275</v>
      </c>
      <c r="E11" s="176" t="s">
        <v>41</v>
      </c>
      <c r="F11" s="177" t="s">
        <v>196</v>
      </c>
      <c r="G11" s="162">
        <v>0.83</v>
      </c>
      <c r="H11" s="163">
        <f t="shared" si="0"/>
        <v>19.139799999999997</v>
      </c>
      <c r="I11" s="164">
        <f t="shared" si="1"/>
        <v>23.289799999999996</v>
      </c>
      <c r="J11" s="178">
        <v>10.94</v>
      </c>
      <c r="K11" s="179">
        <v>35</v>
      </c>
      <c r="L11" s="180">
        <v>70</v>
      </c>
      <c r="M11" s="168"/>
      <c r="N11" s="168"/>
      <c r="O11" s="168"/>
      <c r="P11" s="169">
        <v>1</v>
      </c>
      <c r="Q11" s="170" t="str">
        <f>A11</f>
        <v>B</v>
      </c>
      <c r="R11" s="171" t="s">
        <v>81</v>
      </c>
      <c r="S11" s="172" t="s">
        <v>85</v>
      </c>
      <c r="T11" s="155"/>
    </row>
    <row r="12" spans="1:20" s="172" customFormat="1" ht="15" x14ac:dyDescent="0.25">
      <c r="A12" s="156" t="s">
        <v>84</v>
      </c>
      <c r="B12" s="157" t="s">
        <v>90</v>
      </c>
      <c r="C12" s="174" t="s">
        <v>41</v>
      </c>
      <c r="D12" s="159" t="s">
        <v>276</v>
      </c>
      <c r="E12" s="176" t="s">
        <v>41</v>
      </c>
      <c r="F12" s="177" t="s">
        <v>196</v>
      </c>
      <c r="G12" s="162">
        <v>0.85714285714285698</v>
      </c>
      <c r="H12" s="163">
        <f t="shared" si="0"/>
        <v>19.765714285714282</v>
      </c>
      <c r="I12" s="164">
        <f t="shared" si="1"/>
        <v>24.051428571428566</v>
      </c>
      <c r="J12" s="178">
        <v>18.18</v>
      </c>
      <c r="K12" s="179">
        <v>67</v>
      </c>
      <c r="L12" s="180">
        <v>130</v>
      </c>
      <c r="M12" s="168"/>
      <c r="N12" s="168"/>
      <c r="O12" s="168"/>
      <c r="P12" s="169">
        <v>1</v>
      </c>
      <c r="Q12" s="170" t="str">
        <f>A12</f>
        <v>C</v>
      </c>
      <c r="R12" s="171" t="s">
        <v>81</v>
      </c>
      <c r="S12" s="172" t="s">
        <v>235</v>
      </c>
      <c r="T12" s="155"/>
    </row>
    <row r="13" spans="1:20" s="172" customFormat="1" ht="15" x14ac:dyDescent="0.25">
      <c r="A13" s="156">
        <v>105</v>
      </c>
      <c r="B13" s="157" t="s">
        <v>77</v>
      </c>
      <c r="C13" s="174" t="s">
        <v>41</v>
      </c>
      <c r="D13" s="159" t="s">
        <v>277</v>
      </c>
      <c r="E13" s="176" t="s">
        <v>41</v>
      </c>
      <c r="F13" s="177" t="s">
        <v>194</v>
      </c>
      <c r="G13" s="162">
        <v>0.77</v>
      </c>
      <c r="H13" s="163">
        <f t="shared" si="0"/>
        <v>12.2507</v>
      </c>
      <c r="I13" s="164">
        <f t="shared" si="1"/>
        <v>16.1007</v>
      </c>
      <c r="J13" s="178">
        <v>14.7</v>
      </c>
      <c r="K13" s="179">
        <v>90</v>
      </c>
      <c r="L13" s="180">
        <v>170</v>
      </c>
      <c r="M13" s="168"/>
      <c r="N13" s="168"/>
      <c r="O13" s="168"/>
      <c r="P13" s="169">
        <v>1</v>
      </c>
      <c r="Q13" s="170">
        <f t="shared" si="2"/>
        <v>105</v>
      </c>
      <c r="R13" s="171" t="s">
        <v>42</v>
      </c>
      <c r="S13" s="172">
        <v>4033</v>
      </c>
      <c r="T13" s="155"/>
    </row>
    <row r="14" spans="1:20" s="172" customFormat="1" ht="15" x14ac:dyDescent="0.25">
      <c r="A14" s="156">
        <v>106</v>
      </c>
      <c r="B14" s="157" t="s">
        <v>78</v>
      </c>
      <c r="C14" s="174" t="s">
        <v>41</v>
      </c>
      <c r="D14" s="159" t="s">
        <v>278</v>
      </c>
      <c r="E14" s="176" t="s">
        <v>41</v>
      </c>
      <c r="F14" s="177" t="s">
        <v>194</v>
      </c>
      <c r="G14" s="162">
        <v>1.23</v>
      </c>
      <c r="H14" s="163">
        <f t="shared" si="0"/>
        <v>19.569299999999998</v>
      </c>
      <c r="I14" s="164">
        <f t="shared" si="1"/>
        <v>25.719299999999997</v>
      </c>
      <c r="J14" s="178">
        <v>21</v>
      </c>
      <c r="K14" s="179">
        <v>94</v>
      </c>
      <c r="L14" s="180">
        <v>210</v>
      </c>
      <c r="M14" s="168"/>
      <c r="N14" s="168"/>
      <c r="O14" s="168"/>
      <c r="P14" s="169">
        <v>1</v>
      </c>
      <c r="Q14" s="170">
        <f t="shared" si="2"/>
        <v>106</v>
      </c>
      <c r="R14" s="171" t="s">
        <v>42</v>
      </c>
      <c r="S14" s="172">
        <v>4056</v>
      </c>
      <c r="T14" s="155"/>
    </row>
    <row r="15" spans="1:20" s="172" customFormat="1" ht="15" x14ac:dyDescent="0.25">
      <c r="A15" s="156">
        <v>108</v>
      </c>
      <c r="B15" s="157" t="s">
        <v>79</v>
      </c>
      <c r="C15" s="174" t="s">
        <v>41</v>
      </c>
      <c r="D15" s="159" t="s">
        <v>279</v>
      </c>
      <c r="E15" s="176" t="s">
        <v>41</v>
      </c>
      <c r="F15" s="177" t="s">
        <v>193</v>
      </c>
      <c r="G15" s="162">
        <v>0.79</v>
      </c>
      <c r="H15" s="163">
        <f t="shared" si="0"/>
        <v>11.0205</v>
      </c>
      <c r="I15" s="164">
        <f t="shared" si="1"/>
        <v>14.970500000000001</v>
      </c>
      <c r="J15" s="178">
        <v>2.96</v>
      </c>
      <c r="K15" s="179">
        <v>21</v>
      </c>
      <c r="L15" s="180">
        <v>90</v>
      </c>
      <c r="M15" s="168"/>
      <c r="N15" s="168"/>
      <c r="O15" s="168"/>
      <c r="P15" s="169">
        <v>1</v>
      </c>
      <c r="Q15" s="170">
        <f t="shared" si="2"/>
        <v>108</v>
      </c>
      <c r="R15" s="171" t="s">
        <v>42</v>
      </c>
      <c r="S15" s="172">
        <v>4075</v>
      </c>
      <c r="T15" s="155"/>
    </row>
    <row r="16" spans="1:20" s="172" customFormat="1" ht="15" x14ac:dyDescent="0.25">
      <c r="A16" s="156">
        <v>204</v>
      </c>
      <c r="B16" s="157" t="s">
        <v>80</v>
      </c>
      <c r="C16" s="174" t="s">
        <v>41</v>
      </c>
      <c r="D16" s="159" t="s">
        <v>280</v>
      </c>
      <c r="E16" s="176" t="s">
        <v>41</v>
      </c>
      <c r="F16" s="177">
        <v>1</v>
      </c>
      <c r="G16" s="162">
        <v>1.28</v>
      </c>
      <c r="H16" s="163">
        <f t="shared" si="0"/>
        <v>15.552000000000001</v>
      </c>
      <c r="I16" s="164">
        <f t="shared" si="1"/>
        <v>21.952000000000002</v>
      </c>
      <c r="J16" s="178">
        <v>18.690000000000001</v>
      </c>
      <c r="K16" s="179">
        <v>82</v>
      </c>
      <c r="L16" s="180">
        <v>180</v>
      </c>
      <c r="M16" s="168"/>
      <c r="N16" s="168"/>
      <c r="O16" s="168"/>
      <c r="P16" s="169">
        <v>1</v>
      </c>
      <c r="Q16" s="170">
        <f t="shared" si="2"/>
        <v>204</v>
      </c>
      <c r="R16" s="171" t="s">
        <v>42</v>
      </c>
      <c r="S16" s="172">
        <v>5031</v>
      </c>
      <c r="T16" s="155"/>
    </row>
    <row r="17" spans="1:23" s="172" customFormat="1" ht="15" x14ac:dyDescent="0.25">
      <c r="A17" s="156" t="s">
        <v>86</v>
      </c>
      <c r="B17" s="157" t="s">
        <v>87</v>
      </c>
      <c r="C17" s="174" t="s">
        <v>41</v>
      </c>
      <c r="D17" s="159" t="s">
        <v>281</v>
      </c>
      <c r="E17" s="176" t="s">
        <v>41</v>
      </c>
      <c r="F17" s="177">
        <v>5</v>
      </c>
      <c r="G17" s="162">
        <v>1.7142857142857142</v>
      </c>
      <c r="H17" s="163">
        <f t="shared" si="0"/>
        <v>51.754285714285714</v>
      </c>
      <c r="I17" s="164">
        <f t="shared" si="1"/>
        <v>60.325714285714284</v>
      </c>
      <c r="J17" s="178">
        <v>12</v>
      </c>
      <c r="K17" s="179">
        <v>61</v>
      </c>
      <c r="L17" s="180">
        <v>190</v>
      </c>
      <c r="M17" s="168"/>
      <c r="N17" s="168"/>
      <c r="O17" s="168"/>
      <c r="P17" s="169">
        <v>1</v>
      </c>
      <c r="Q17" s="170" t="str">
        <f t="shared" si="2"/>
        <v>D</v>
      </c>
      <c r="R17" s="171" t="s">
        <v>81</v>
      </c>
      <c r="S17" s="172" t="s">
        <v>236</v>
      </c>
      <c r="T17" s="155"/>
    </row>
    <row r="18" spans="1:23" s="172" customFormat="1" ht="15" x14ac:dyDescent="0.25">
      <c r="A18" s="156" t="s">
        <v>91</v>
      </c>
      <c r="B18" s="173" t="s">
        <v>98</v>
      </c>
      <c r="C18" s="174" t="s">
        <v>41</v>
      </c>
      <c r="D18" s="175" t="s">
        <v>282</v>
      </c>
      <c r="E18" s="176" t="s">
        <v>41</v>
      </c>
      <c r="F18" s="177">
        <v>4</v>
      </c>
      <c r="G18" s="162">
        <v>0.59113300492610843</v>
      </c>
      <c r="H18" s="163">
        <f t="shared" ref="H18" si="3">IF(F18="","",VLOOKUP(F18,F$45:H$65,3,FALSE)*G18)</f>
        <v>12.466995073891626</v>
      </c>
      <c r="I18" s="164">
        <f t="shared" ref="I18" si="4">IF(G18="","",G18*H$65+H18)</f>
        <v>15.422660098522169</v>
      </c>
      <c r="J18" s="178">
        <v>15.19</v>
      </c>
      <c r="K18" s="179">
        <v>89</v>
      </c>
      <c r="L18" s="180">
        <v>130</v>
      </c>
      <c r="M18" s="168"/>
      <c r="N18" s="168"/>
      <c r="O18" s="168"/>
      <c r="P18" s="169">
        <v>1</v>
      </c>
      <c r="Q18" s="170" t="str">
        <f t="shared" ref="Q18" si="5">A18</f>
        <v>E</v>
      </c>
      <c r="R18" s="171" t="s">
        <v>42</v>
      </c>
      <c r="S18" s="172">
        <v>5032</v>
      </c>
      <c r="T18" s="155"/>
    </row>
    <row r="19" spans="1:23" s="425" customFormat="1" ht="15" x14ac:dyDescent="0.25">
      <c r="A19" s="417"/>
      <c r="B19" s="418"/>
      <c r="C19" s="419"/>
      <c r="D19" s="175" t="s">
        <v>313</v>
      </c>
      <c r="E19" s="176" t="s">
        <v>41</v>
      </c>
      <c r="F19" s="177" t="s">
        <v>193</v>
      </c>
      <c r="G19" s="162">
        <v>1.29</v>
      </c>
      <c r="H19" s="163">
        <f>IF(F19="","",VLOOKUP(F19,F$45:H$65,3,FALSE)*G19)</f>
        <v>17.9955</v>
      </c>
      <c r="I19" s="164">
        <f>IF(G19="","",G19*H$65+H19)</f>
        <v>24.445499999999999</v>
      </c>
      <c r="J19" s="178">
        <v>9.75</v>
      </c>
      <c r="K19" s="179">
        <v>46</v>
      </c>
      <c r="L19" s="180">
        <v>180</v>
      </c>
      <c r="M19" s="420"/>
      <c r="N19" s="420"/>
      <c r="O19" s="420"/>
      <c r="P19" s="421"/>
      <c r="Q19" s="124"/>
      <c r="R19" s="422"/>
      <c r="S19" s="423"/>
      <c r="T19" s="424"/>
      <c r="U19" s="423"/>
    </row>
    <row r="20" spans="1:23" s="425" customFormat="1" ht="15" x14ac:dyDescent="0.25">
      <c r="A20" s="417" t="s">
        <v>91</v>
      </c>
      <c r="B20" s="426" t="s">
        <v>98</v>
      </c>
      <c r="C20" s="419" t="s">
        <v>41</v>
      </c>
      <c r="D20" s="175" t="s">
        <v>314</v>
      </c>
      <c r="E20" s="176" t="s">
        <v>41</v>
      </c>
      <c r="F20" s="177" t="s">
        <v>195</v>
      </c>
      <c r="G20" s="162">
        <v>1.57</v>
      </c>
      <c r="H20" s="163">
        <f>IF(F20="","",VLOOKUP(F20,F$45:H$65,3,FALSE)*G20)</f>
        <v>32.499000000000002</v>
      </c>
      <c r="I20" s="164">
        <f>IF(G20="","",G20*H$65+H20)</f>
        <v>40.349000000000004</v>
      </c>
      <c r="J20" s="178">
        <v>41.13</v>
      </c>
      <c r="K20" s="179">
        <v>115</v>
      </c>
      <c r="L20" s="180">
        <v>290</v>
      </c>
      <c r="M20" s="420"/>
      <c r="N20" s="420"/>
      <c r="O20" s="420"/>
      <c r="P20" s="421">
        <v>1</v>
      </c>
      <c r="Q20" s="124" t="str">
        <f t="shared" ref="Q20" si="6">A20</f>
        <v>E</v>
      </c>
      <c r="R20" s="422" t="s">
        <v>42</v>
      </c>
      <c r="S20" s="423">
        <v>5032</v>
      </c>
      <c r="T20" s="424"/>
      <c r="U20" s="423"/>
    </row>
    <row r="21" spans="1:23" s="155" customFormat="1" ht="18" customHeight="1" x14ac:dyDescent="0.25">
      <c r="A21" s="181">
        <v>0</v>
      </c>
      <c r="B21" s="182" t="s">
        <v>43</v>
      </c>
      <c r="C21" s="142"/>
      <c r="D21" s="183" t="s">
        <v>63</v>
      </c>
      <c r="E21" s="142"/>
      <c r="F21" s="142"/>
      <c r="G21" s="184"/>
      <c r="H21" s="185"/>
      <c r="I21" s="184"/>
      <c r="J21" s="186"/>
      <c r="K21" s="187"/>
      <c r="L21" s="188"/>
      <c r="M21" s="189"/>
      <c r="N21" s="190"/>
      <c r="O21" s="190"/>
      <c r="P21" s="191"/>
      <c r="Q21" s="170">
        <f t="shared" si="2"/>
        <v>0</v>
      </c>
      <c r="R21" s="154"/>
    </row>
    <row r="22" spans="1:23" s="172" customFormat="1" ht="15" x14ac:dyDescent="0.25">
      <c r="A22" s="156">
        <v>302</v>
      </c>
      <c r="B22" s="157" t="s">
        <v>93</v>
      </c>
      <c r="C22" s="174" t="s">
        <v>41</v>
      </c>
      <c r="D22" s="159" t="s">
        <v>283</v>
      </c>
      <c r="E22" s="176" t="s">
        <v>41</v>
      </c>
      <c r="F22" s="177">
        <v>1</v>
      </c>
      <c r="G22" s="162">
        <v>0.44</v>
      </c>
      <c r="H22" s="163">
        <f t="shared" ref="H22:H33" si="7">IF(F22="","",VLOOKUP(F22,F$45:H$65,3,FALSE)*G22)</f>
        <v>5.3460000000000001</v>
      </c>
      <c r="I22" s="164">
        <f t="shared" ref="I22:I33" si="8">IF(G22="","",G22*H$65+H22)</f>
        <v>7.5460000000000003</v>
      </c>
      <c r="J22" s="192">
        <v>4.2</v>
      </c>
      <c r="K22" s="193">
        <v>22</v>
      </c>
      <c r="L22" s="194">
        <v>70</v>
      </c>
      <c r="M22" s="168"/>
      <c r="N22" s="168"/>
      <c r="O22" s="168"/>
      <c r="P22" s="169">
        <v>2</v>
      </c>
      <c r="Q22" s="170">
        <f t="shared" si="2"/>
        <v>302</v>
      </c>
      <c r="R22" s="171" t="s">
        <v>42</v>
      </c>
      <c r="S22" s="172">
        <v>5082</v>
      </c>
      <c r="T22" s="155"/>
    </row>
    <row r="23" spans="1:23" s="172" customFormat="1" ht="15" x14ac:dyDescent="0.25">
      <c r="A23" s="156">
        <v>301</v>
      </c>
      <c r="B23" s="157" t="s">
        <v>92</v>
      </c>
      <c r="C23" s="174" t="s">
        <v>41</v>
      </c>
      <c r="D23" s="159" t="s">
        <v>284</v>
      </c>
      <c r="E23" s="176" t="s">
        <v>41</v>
      </c>
      <c r="F23" s="177">
        <v>1</v>
      </c>
      <c r="G23" s="162">
        <v>0.53</v>
      </c>
      <c r="H23" s="163">
        <f t="shared" si="7"/>
        <v>6.4395000000000007</v>
      </c>
      <c r="I23" s="164">
        <f t="shared" si="8"/>
        <v>9.089500000000001</v>
      </c>
      <c r="J23" s="192">
        <v>4.01</v>
      </c>
      <c r="K23" s="193">
        <v>22</v>
      </c>
      <c r="L23" s="194">
        <v>70</v>
      </c>
      <c r="M23" s="168"/>
      <c r="N23" s="168"/>
      <c r="O23" s="168"/>
      <c r="P23" s="169">
        <v>2</v>
      </c>
      <c r="Q23" s="170">
        <f t="shared" ref="Q23:Q28" si="9">A23</f>
        <v>301</v>
      </c>
      <c r="R23" s="171" t="s">
        <v>42</v>
      </c>
      <c r="S23" s="172">
        <v>5081</v>
      </c>
      <c r="T23" s="155"/>
    </row>
    <row r="24" spans="1:23" s="172" customFormat="1" ht="15" x14ac:dyDescent="0.25">
      <c r="A24" s="156" t="s">
        <v>102</v>
      </c>
      <c r="B24" s="157" t="s">
        <v>103</v>
      </c>
      <c r="C24" s="174" t="s">
        <v>41</v>
      </c>
      <c r="D24" s="159" t="s">
        <v>285</v>
      </c>
      <c r="E24" s="176" t="s">
        <v>41</v>
      </c>
      <c r="F24" s="177">
        <v>2</v>
      </c>
      <c r="G24" s="162">
        <f>0.5*1.2</f>
        <v>0.6</v>
      </c>
      <c r="H24" s="163">
        <f t="shared" si="7"/>
        <v>8.4659999999999993</v>
      </c>
      <c r="I24" s="164">
        <f t="shared" si="8"/>
        <v>11.465999999999999</v>
      </c>
      <c r="J24" s="192">
        <v>11.5</v>
      </c>
      <c r="K24" s="193">
        <v>40</v>
      </c>
      <c r="L24" s="194">
        <v>80</v>
      </c>
      <c r="M24" s="168"/>
      <c r="N24" s="168"/>
      <c r="O24" s="168"/>
      <c r="P24" s="169">
        <v>2</v>
      </c>
      <c r="Q24" s="170" t="str">
        <f t="shared" si="9"/>
        <v>H</v>
      </c>
      <c r="R24" s="171" t="s">
        <v>81</v>
      </c>
      <c r="S24" s="172" t="s">
        <v>104</v>
      </c>
      <c r="T24" s="155"/>
    </row>
    <row r="25" spans="1:23" s="197" customFormat="1" ht="15" x14ac:dyDescent="0.25">
      <c r="A25" s="195" t="s">
        <v>105</v>
      </c>
      <c r="B25" s="157" t="s">
        <v>123</v>
      </c>
      <c r="C25" s="174" t="s">
        <v>41</v>
      </c>
      <c r="D25" s="159" t="s">
        <v>286</v>
      </c>
      <c r="E25" s="176" t="s">
        <v>41</v>
      </c>
      <c r="F25" s="177">
        <v>2</v>
      </c>
      <c r="G25" s="162">
        <v>1</v>
      </c>
      <c r="H25" s="163">
        <f t="shared" si="7"/>
        <v>14.11</v>
      </c>
      <c r="I25" s="164">
        <f t="shared" si="8"/>
        <v>19.11</v>
      </c>
      <c r="J25" s="192">
        <v>31.67</v>
      </c>
      <c r="K25" s="193">
        <v>84</v>
      </c>
      <c r="L25" s="194">
        <v>90</v>
      </c>
      <c r="M25" s="168"/>
      <c r="N25" s="168"/>
      <c r="O25" s="168"/>
      <c r="P25" s="169">
        <v>2</v>
      </c>
      <c r="Q25" s="170" t="str">
        <f t="shared" si="9"/>
        <v>I</v>
      </c>
      <c r="R25" s="171" t="s">
        <v>81</v>
      </c>
      <c r="S25" s="196"/>
      <c r="W25" s="172"/>
    </row>
    <row r="26" spans="1:23" s="197" customFormat="1" ht="15" x14ac:dyDescent="0.25">
      <c r="A26" s="195" t="s">
        <v>105</v>
      </c>
      <c r="B26" s="157" t="s">
        <v>123</v>
      </c>
      <c r="C26" s="174" t="s">
        <v>41</v>
      </c>
      <c r="D26" s="159" t="s">
        <v>287</v>
      </c>
      <c r="E26" s="176" t="s">
        <v>41</v>
      </c>
      <c r="F26" s="177">
        <v>2</v>
      </c>
      <c r="G26" s="162">
        <v>1</v>
      </c>
      <c r="H26" s="163">
        <f t="shared" ref="H26" si="10">IF(F26="","",VLOOKUP(F26,F$45:H$65,3,FALSE)*G26)</f>
        <v>14.11</v>
      </c>
      <c r="I26" s="164">
        <f t="shared" ref="I26" si="11">IF(G26="","",G26*H$65+H26)</f>
        <v>19.11</v>
      </c>
      <c r="J26" s="178">
        <f>J25+H$64</f>
        <v>39.92</v>
      </c>
      <c r="K26" s="179">
        <f>K25+$K$64</f>
        <v>140</v>
      </c>
      <c r="L26" s="180">
        <f>L25+$K$64</f>
        <v>146</v>
      </c>
      <c r="M26" s="168"/>
      <c r="N26" s="168"/>
      <c r="O26" s="168"/>
      <c r="P26" s="169">
        <v>2</v>
      </c>
      <c r="Q26" s="170" t="str">
        <f t="shared" si="9"/>
        <v>I</v>
      </c>
      <c r="R26" s="171" t="s">
        <v>81</v>
      </c>
      <c r="S26" s="196"/>
      <c r="W26" s="172"/>
    </row>
    <row r="27" spans="1:23" s="197" customFormat="1" ht="15" x14ac:dyDescent="0.25">
      <c r="A27" s="195" t="s">
        <v>106</v>
      </c>
      <c r="B27" s="157" t="s">
        <v>124</v>
      </c>
      <c r="C27" s="174" t="s">
        <v>41</v>
      </c>
      <c r="D27" s="159" t="s">
        <v>288</v>
      </c>
      <c r="E27" s="176" t="s">
        <v>41</v>
      </c>
      <c r="F27" s="177">
        <v>2</v>
      </c>
      <c r="G27" s="162">
        <v>1</v>
      </c>
      <c r="H27" s="163">
        <f t="shared" si="7"/>
        <v>14.11</v>
      </c>
      <c r="I27" s="164">
        <f t="shared" si="8"/>
        <v>19.11</v>
      </c>
      <c r="J27" s="192">
        <v>21.67</v>
      </c>
      <c r="K27" s="193">
        <v>60</v>
      </c>
      <c r="L27" s="194">
        <v>85</v>
      </c>
      <c r="M27" s="168"/>
      <c r="N27" s="168"/>
      <c r="O27" s="168"/>
      <c r="P27" s="169">
        <v>2</v>
      </c>
      <c r="Q27" s="170" t="str">
        <f t="shared" si="9"/>
        <v>J</v>
      </c>
      <c r="R27" s="171" t="s">
        <v>81</v>
      </c>
    </row>
    <row r="28" spans="1:23" s="197" customFormat="1" ht="15" x14ac:dyDescent="0.25">
      <c r="A28" s="195" t="s">
        <v>106</v>
      </c>
      <c r="B28" s="157" t="s">
        <v>124</v>
      </c>
      <c r="C28" s="174" t="s">
        <v>41</v>
      </c>
      <c r="D28" s="159" t="s">
        <v>289</v>
      </c>
      <c r="E28" s="176" t="s">
        <v>41</v>
      </c>
      <c r="F28" s="177">
        <v>2</v>
      </c>
      <c r="G28" s="162">
        <v>1</v>
      </c>
      <c r="H28" s="163">
        <f t="shared" ref="H28" si="12">IF(F28="","",VLOOKUP(F28,F$45:H$65,3,FALSE)*G28)</f>
        <v>14.11</v>
      </c>
      <c r="I28" s="164">
        <f t="shared" ref="I28" si="13">IF(G28="","",G28*H$65+H28)</f>
        <v>19.11</v>
      </c>
      <c r="J28" s="178">
        <f>J27+H$64</f>
        <v>29.92</v>
      </c>
      <c r="K28" s="179">
        <f>K27+$K$64</f>
        <v>116</v>
      </c>
      <c r="L28" s="180">
        <f>L27+$K$64</f>
        <v>141</v>
      </c>
      <c r="M28" s="168"/>
      <c r="N28" s="168"/>
      <c r="O28" s="168"/>
      <c r="P28" s="169">
        <v>2</v>
      </c>
      <c r="Q28" s="170" t="str">
        <f t="shared" si="9"/>
        <v>J</v>
      </c>
      <c r="R28" s="171" t="s">
        <v>81</v>
      </c>
    </row>
    <row r="29" spans="1:23" s="172" customFormat="1" ht="15" x14ac:dyDescent="0.25">
      <c r="A29" s="156">
        <v>314</v>
      </c>
      <c r="B29" s="157" t="s">
        <v>94</v>
      </c>
      <c r="C29" s="174" t="s">
        <v>41</v>
      </c>
      <c r="D29" s="159" t="s">
        <v>290</v>
      </c>
      <c r="E29" s="176" t="s">
        <v>41</v>
      </c>
      <c r="F29" s="177">
        <v>1</v>
      </c>
      <c r="G29" s="162">
        <v>1</v>
      </c>
      <c r="H29" s="163">
        <f t="shared" si="7"/>
        <v>12.15</v>
      </c>
      <c r="I29" s="164">
        <f t="shared" si="8"/>
        <v>17.149999999999999</v>
      </c>
      <c r="J29" s="192">
        <v>19.170000000000002</v>
      </c>
      <c r="K29" s="193">
        <v>53</v>
      </c>
      <c r="L29" s="194">
        <v>160</v>
      </c>
      <c r="M29" s="168"/>
      <c r="N29" s="168"/>
      <c r="O29" s="168"/>
      <c r="P29" s="169">
        <v>2</v>
      </c>
      <c r="Q29" s="170">
        <f t="shared" si="2"/>
        <v>314</v>
      </c>
      <c r="R29" s="171" t="s">
        <v>42</v>
      </c>
      <c r="S29" s="172">
        <v>5121</v>
      </c>
      <c r="T29" s="155"/>
    </row>
    <row r="30" spans="1:23" s="172" customFormat="1" ht="15" x14ac:dyDescent="0.25">
      <c r="A30" s="156" t="s">
        <v>99</v>
      </c>
      <c r="B30" s="157" t="s">
        <v>100</v>
      </c>
      <c r="C30" s="174" t="s">
        <v>41</v>
      </c>
      <c r="D30" s="159" t="s">
        <v>291</v>
      </c>
      <c r="E30" s="176" t="s">
        <v>41</v>
      </c>
      <c r="F30" s="177">
        <v>1</v>
      </c>
      <c r="G30" s="162">
        <v>1</v>
      </c>
      <c r="H30" s="163">
        <f t="shared" si="7"/>
        <v>12.15</v>
      </c>
      <c r="I30" s="164">
        <f t="shared" si="8"/>
        <v>17.149999999999999</v>
      </c>
      <c r="J30" s="178">
        <f>J29+H$64</f>
        <v>27.42</v>
      </c>
      <c r="K30" s="179">
        <f>K29+$K$64</f>
        <v>109</v>
      </c>
      <c r="L30" s="180">
        <f>L29+$K$64</f>
        <v>216</v>
      </c>
      <c r="M30" s="168"/>
      <c r="N30" s="168"/>
      <c r="O30" s="168"/>
      <c r="P30" s="169">
        <v>2</v>
      </c>
      <c r="Q30" s="170" t="str">
        <f>A30</f>
        <v>G</v>
      </c>
      <c r="R30" s="171" t="s">
        <v>42</v>
      </c>
      <c r="S30" s="172" t="s">
        <v>101</v>
      </c>
      <c r="T30" s="155"/>
    </row>
    <row r="31" spans="1:23" s="172" customFormat="1" ht="15" x14ac:dyDescent="0.25">
      <c r="A31" s="156">
        <v>403</v>
      </c>
      <c r="B31" s="157" t="s">
        <v>95</v>
      </c>
      <c r="C31" s="174" t="s">
        <v>41</v>
      </c>
      <c r="D31" s="159" t="s">
        <v>292</v>
      </c>
      <c r="E31" s="176" t="s">
        <v>41</v>
      </c>
      <c r="F31" s="177">
        <v>1</v>
      </c>
      <c r="G31" s="162">
        <v>0.84</v>
      </c>
      <c r="H31" s="163">
        <f t="shared" si="7"/>
        <v>10.206</v>
      </c>
      <c r="I31" s="164">
        <f t="shared" si="8"/>
        <v>14.405999999999999</v>
      </c>
      <c r="J31" s="192">
        <v>2.79</v>
      </c>
      <c r="K31" s="193">
        <v>10</v>
      </c>
      <c r="L31" s="194">
        <v>90</v>
      </c>
      <c r="M31" s="168"/>
      <c r="N31" s="168"/>
      <c r="O31" s="168"/>
      <c r="P31" s="169">
        <v>2</v>
      </c>
      <c r="Q31" s="170">
        <f t="shared" ref="Q31:Q34" si="14">A31</f>
        <v>403</v>
      </c>
      <c r="R31" s="171" t="s">
        <v>42</v>
      </c>
      <c r="S31" s="172">
        <v>6004</v>
      </c>
      <c r="T31" s="155"/>
    </row>
    <row r="32" spans="1:23" s="172" customFormat="1" ht="15" x14ac:dyDescent="0.25">
      <c r="A32" s="156">
        <v>407</v>
      </c>
      <c r="B32" s="157" t="s">
        <v>96</v>
      </c>
      <c r="C32" s="174" t="s">
        <v>44</v>
      </c>
      <c r="D32" s="159" t="s">
        <v>293</v>
      </c>
      <c r="E32" s="176" t="s">
        <v>44</v>
      </c>
      <c r="F32" s="177">
        <v>2</v>
      </c>
      <c r="G32" s="162">
        <v>7.0000000000000007E-2</v>
      </c>
      <c r="H32" s="163">
        <f t="shared" si="7"/>
        <v>0.98770000000000002</v>
      </c>
      <c r="I32" s="164">
        <f t="shared" si="8"/>
        <v>1.3377000000000001</v>
      </c>
      <c r="J32" s="192">
        <v>1.46</v>
      </c>
      <c r="K32" s="193">
        <v>8.4700000000000006</v>
      </c>
      <c r="L32" s="194">
        <v>20</v>
      </c>
      <c r="M32" s="168"/>
      <c r="N32" s="168"/>
      <c r="O32" s="168"/>
      <c r="P32" s="169">
        <v>2</v>
      </c>
      <c r="Q32" s="170">
        <f t="shared" si="14"/>
        <v>407</v>
      </c>
      <c r="R32" s="171" t="s">
        <v>42</v>
      </c>
      <c r="S32" s="172" t="s">
        <v>46</v>
      </c>
      <c r="T32" s="155" t="s">
        <v>45</v>
      </c>
    </row>
    <row r="33" spans="1:21" s="172" customFormat="1" ht="15" x14ac:dyDescent="0.25">
      <c r="A33" s="156">
        <v>501</v>
      </c>
      <c r="B33" s="157" t="s">
        <v>97</v>
      </c>
      <c r="C33" s="174" t="s">
        <v>41</v>
      </c>
      <c r="D33" s="159" t="s">
        <v>294</v>
      </c>
      <c r="E33" s="176" t="s">
        <v>41</v>
      </c>
      <c r="F33" s="177">
        <v>1</v>
      </c>
      <c r="G33" s="162">
        <v>0.82</v>
      </c>
      <c r="H33" s="163">
        <f t="shared" si="7"/>
        <v>9.9629999999999992</v>
      </c>
      <c r="I33" s="164">
        <f t="shared" si="8"/>
        <v>14.062999999999999</v>
      </c>
      <c r="J33" s="192">
        <v>12.13</v>
      </c>
      <c r="K33" s="193">
        <v>46</v>
      </c>
      <c r="L33" s="194">
        <v>94</v>
      </c>
      <c r="M33" s="168"/>
      <c r="N33" s="168"/>
      <c r="O33" s="168"/>
      <c r="P33" s="169">
        <v>2</v>
      </c>
      <c r="Q33" s="170">
        <f t="shared" si="14"/>
        <v>501</v>
      </c>
      <c r="R33" s="171" t="s">
        <v>42</v>
      </c>
      <c r="S33" s="172">
        <v>5153</v>
      </c>
      <c r="T33" s="155"/>
    </row>
    <row r="34" spans="1:21" s="172" customFormat="1" ht="15" x14ac:dyDescent="0.25">
      <c r="A34" s="156" t="s">
        <v>140</v>
      </c>
      <c r="B34" s="157" t="s">
        <v>141</v>
      </c>
      <c r="C34" s="174" t="s">
        <v>14</v>
      </c>
      <c r="D34" s="159" t="s">
        <v>295</v>
      </c>
      <c r="E34" s="176" t="s">
        <v>14</v>
      </c>
      <c r="F34" s="177"/>
      <c r="G34" s="162">
        <v>0</v>
      </c>
      <c r="H34" s="163">
        <v>0</v>
      </c>
      <c r="I34" s="164">
        <v>0</v>
      </c>
      <c r="J34" s="178">
        <v>28</v>
      </c>
      <c r="K34" s="179">
        <v>28</v>
      </c>
      <c r="L34" s="180">
        <v>28</v>
      </c>
      <c r="M34" s="168"/>
      <c r="N34" s="168"/>
      <c r="O34" s="168"/>
      <c r="P34" s="169">
        <v>2</v>
      </c>
      <c r="Q34" s="170" t="str">
        <f t="shared" si="14"/>
        <v>K</v>
      </c>
      <c r="R34" s="171"/>
      <c r="T34" s="155"/>
    </row>
    <row r="35" spans="1:21" s="155" customFormat="1" ht="18" customHeight="1" x14ac:dyDescent="0.25">
      <c r="A35" s="181">
        <v>0</v>
      </c>
      <c r="B35" s="198" t="s">
        <v>48</v>
      </c>
      <c r="C35" s="182"/>
      <c r="D35" s="183" t="s">
        <v>64</v>
      </c>
      <c r="E35" s="182"/>
      <c r="F35" s="182"/>
      <c r="G35" s="199"/>
      <c r="H35" s="200"/>
      <c r="I35" s="199"/>
      <c r="J35" s="201"/>
      <c r="K35" s="202"/>
      <c r="L35" s="203"/>
      <c r="M35" s="189"/>
      <c r="N35" s="190"/>
      <c r="O35" s="190"/>
      <c r="P35" s="191"/>
      <c r="Q35" s="170">
        <f t="shared" ref="Q35:Q37" si="15">A35</f>
        <v>0</v>
      </c>
      <c r="R35" s="154"/>
    </row>
    <row r="36" spans="1:21" s="172" customFormat="1" ht="15" x14ac:dyDescent="0.25">
      <c r="A36" s="156">
        <v>803</v>
      </c>
      <c r="B36" s="157" t="s">
        <v>237</v>
      </c>
      <c r="C36" s="174" t="s">
        <v>47</v>
      </c>
      <c r="D36" s="159" t="s">
        <v>296</v>
      </c>
      <c r="E36" s="176" t="s">
        <v>47</v>
      </c>
      <c r="F36" s="177">
        <v>1</v>
      </c>
      <c r="G36" s="162">
        <v>1</v>
      </c>
      <c r="H36" s="163">
        <f t="shared" ref="H36:H37" si="16">IF(F36="","",VLOOKUP(F36,F$45:H$65,3,FALSE)*G36)</f>
        <v>12.15</v>
      </c>
      <c r="I36" s="164">
        <f t="shared" ref="I36:I37" si="17">IF(G36="","",G36*H$65+H36)</f>
        <v>17.149999999999999</v>
      </c>
      <c r="J36" s="192">
        <v>12.32</v>
      </c>
      <c r="K36" s="193">
        <v>56</v>
      </c>
      <c r="L36" s="194">
        <v>140</v>
      </c>
      <c r="M36" s="168">
        <v>0</v>
      </c>
      <c r="N36" s="168">
        <v>0.2</v>
      </c>
      <c r="O36" s="168"/>
      <c r="P36" s="169">
        <v>3</v>
      </c>
      <c r="Q36" s="170">
        <f t="shared" si="15"/>
        <v>803</v>
      </c>
      <c r="R36" s="171" t="s">
        <v>42</v>
      </c>
      <c r="S36" s="172">
        <v>3004</v>
      </c>
      <c r="T36" s="155"/>
    </row>
    <row r="37" spans="1:21" s="172" customFormat="1" ht="15" x14ac:dyDescent="0.25">
      <c r="A37" s="156">
        <v>804</v>
      </c>
      <c r="B37" s="157" t="s">
        <v>238</v>
      </c>
      <c r="C37" s="174" t="s">
        <v>14</v>
      </c>
      <c r="D37" s="159" t="s">
        <v>297</v>
      </c>
      <c r="E37" s="176" t="s">
        <v>14</v>
      </c>
      <c r="F37" s="177">
        <v>1</v>
      </c>
      <c r="G37" s="162">
        <v>1</v>
      </c>
      <c r="H37" s="163">
        <f t="shared" si="16"/>
        <v>12.15</v>
      </c>
      <c r="I37" s="164">
        <f t="shared" si="17"/>
        <v>17.149999999999999</v>
      </c>
      <c r="J37" s="192">
        <f>J36</f>
        <v>12.32</v>
      </c>
      <c r="K37" s="193">
        <f>K36</f>
        <v>56</v>
      </c>
      <c r="L37" s="194">
        <f>L36</f>
        <v>140</v>
      </c>
      <c r="M37" s="168">
        <v>0</v>
      </c>
      <c r="N37" s="168">
        <v>0.2</v>
      </c>
      <c r="O37" s="168"/>
      <c r="P37" s="169">
        <v>3</v>
      </c>
      <c r="Q37" s="170">
        <f t="shared" si="15"/>
        <v>804</v>
      </c>
      <c r="R37" s="171" t="s">
        <v>42</v>
      </c>
      <c r="S37" s="172">
        <v>3004</v>
      </c>
      <c r="T37" s="155"/>
    </row>
    <row r="38" spans="1:21" s="172" customFormat="1" ht="15" x14ac:dyDescent="0.25">
      <c r="A38" s="156">
        <v>807</v>
      </c>
      <c r="B38" s="157" t="s">
        <v>107</v>
      </c>
      <c r="C38" s="174" t="s">
        <v>47</v>
      </c>
      <c r="D38" s="159" t="s">
        <v>298</v>
      </c>
      <c r="E38" s="176" t="s">
        <v>47</v>
      </c>
      <c r="F38" s="177">
        <v>2</v>
      </c>
      <c r="G38" s="162">
        <v>1</v>
      </c>
      <c r="H38" s="163">
        <f t="shared" ref="H38:H43" si="18">IF(F38="","",VLOOKUP(F38,F$45:H$65,3,FALSE)*G38)</f>
        <v>14.11</v>
      </c>
      <c r="I38" s="164">
        <f t="shared" ref="I38:I43" si="19">IF(G38="","",G38*H$65+H38)</f>
        <v>19.11</v>
      </c>
      <c r="J38" s="192">
        <v>11.6</v>
      </c>
      <c r="K38" s="193">
        <v>50</v>
      </c>
      <c r="L38" s="194">
        <v>130</v>
      </c>
      <c r="M38" s="168">
        <v>0</v>
      </c>
      <c r="N38" s="168"/>
      <c r="O38" s="168"/>
      <c r="P38" s="169">
        <v>3</v>
      </c>
      <c r="Q38" s="170">
        <f>A38</f>
        <v>807</v>
      </c>
      <c r="R38" s="171" t="s">
        <v>42</v>
      </c>
      <c r="S38" s="172">
        <v>3010</v>
      </c>
      <c r="T38" s="155"/>
    </row>
    <row r="39" spans="1:21" s="172" customFormat="1" ht="15" x14ac:dyDescent="0.25">
      <c r="A39" s="156">
        <v>808</v>
      </c>
      <c r="B39" s="157" t="s">
        <v>108</v>
      </c>
      <c r="C39" s="174" t="s">
        <v>14</v>
      </c>
      <c r="D39" s="159" t="s">
        <v>299</v>
      </c>
      <c r="E39" s="176" t="s">
        <v>14</v>
      </c>
      <c r="F39" s="177">
        <v>2</v>
      </c>
      <c r="G39" s="162">
        <v>1</v>
      </c>
      <c r="H39" s="163">
        <f t="shared" si="18"/>
        <v>14.11</v>
      </c>
      <c r="I39" s="164">
        <f t="shared" si="19"/>
        <v>19.11</v>
      </c>
      <c r="J39" s="192">
        <f>J38</f>
        <v>11.6</v>
      </c>
      <c r="K39" s="193">
        <f>K38</f>
        <v>50</v>
      </c>
      <c r="L39" s="194">
        <f>L38</f>
        <v>130</v>
      </c>
      <c r="M39" s="168">
        <v>0</v>
      </c>
      <c r="N39" s="168"/>
      <c r="O39" s="168"/>
      <c r="P39" s="169">
        <v>3</v>
      </c>
      <c r="Q39" s="170">
        <f>A39</f>
        <v>808</v>
      </c>
      <c r="R39" s="171" t="s">
        <v>42</v>
      </c>
      <c r="S39" s="172">
        <f>S38</f>
        <v>3010</v>
      </c>
      <c r="T39" s="155"/>
    </row>
    <row r="40" spans="1:21" s="425" customFormat="1" ht="15" x14ac:dyDescent="0.25">
      <c r="A40" s="417"/>
      <c r="B40" s="418" t="s">
        <v>109</v>
      </c>
      <c r="C40" s="419" t="s">
        <v>41</v>
      </c>
      <c r="D40" s="159" t="s">
        <v>315</v>
      </c>
      <c r="E40" s="176" t="s">
        <v>41</v>
      </c>
      <c r="F40" s="177"/>
      <c r="G40" s="162"/>
      <c r="H40" s="163" t="str">
        <f t="shared" si="18"/>
        <v/>
      </c>
      <c r="I40" s="164" t="str">
        <f t="shared" si="19"/>
        <v/>
      </c>
      <c r="J40" s="192">
        <f>72.78/1.43+12.19</f>
        <v>63.085104895104898</v>
      </c>
      <c r="K40" s="193">
        <v>283</v>
      </c>
      <c r="L40" s="194">
        <v>440</v>
      </c>
      <c r="M40" s="420">
        <v>0</v>
      </c>
      <c r="N40" s="420"/>
      <c r="O40" s="420"/>
      <c r="P40" s="421">
        <v>3</v>
      </c>
      <c r="Q40" s="124">
        <f>A40</f>
        <v>0</v>
      </c>
      <c r="R40" s="422" t="s">
        <v>42</v>
      </c>
      <c r="S40" s="423" t="s">
        <v>49</v>
      </c>
      <c r="T40" s="424"/>
      <c r="U40" s="423"/>
    </row>
    <row r="41" spans="1:21" s="425" customFormat="1" ht="15" x14ac:dyDescent="0.25">
      <c r="A41" s="417"/>
      <c r="B41" s="418"/>
      <c r="C41" s="427"/>
      <c r="D41" s="159" t="s">
        <v>317</v>
      </c>
      <c r="E41" s="176" t="s">
        <v>41</v>
      </c>
      <c r="F41" s="412"/>
      <c r="G41" s="413"/>
      <c r="H41" s="226"/>
      <c r="I41" s="225"/>
      <c r="J41" s="414">
        <f>128.9/1.89+11.57</f>
        <v>79.771058201058196</v>
      </c>
      <c r="K41" s="415">
        <v>290</v>
      </c>
      <c r="L41" s="416">
        <v>440</v>
      </c>
      <c r="M41" s="420"/>
      <c r="N41" s="420"/>
      <c r="O41" s="420"/>
      <c r="P41" s="421"/>
      <c r="Q41" s="124"/>
      <c r="R41" s="422"/>
      <c r="S41" s="423"/>
      <c r="T41" s="424"/>
      <c r="U41" s="423"/>
    </row>
    <row r="42" spans="1:21" s="425" customFormat="1" ht="15" x14ac:dyDescent="0.25">
      <c r="A42" s="417"/>
      <c r="B42" s="418"/>
      <c r="C42" s="427"/>
      <c r="D42" s="159" t="s">
        <v>316</v>
      </c>
      <c r="E42" s="176" t="s">
        <v>41</v>
      </c>
      <c r="F42" s="412"/>
      <c r="G42" s="413"/>
      <c r="H42" s="226"/>
      <c r="I42" s="225"/>
      <c r="J42" s="192">
        <f>J40+8.5</f>
        <v>71.585104895104905</v>
      </c>
      <c r="K42" s="193">
        <f>K40+100</f>
        <v>383</v>
      </c>
      <c r="L42" s="194">
        <v>550</v>
      </c>
      <c r="M42" s="420"/>
      <c r="N42" s="420"/>
      <c r="O42" s="420"/>
      <c r="P42" s="421"/>
      <c r="Q42" s="124"/>
      <c r="R42" s="422"/>
      <c r="S42" s="423"/>
      <c r="T42" s="424"/>
      <c r="U42" s="423"/>
    </row>
    <row r="43" spans="1:21" s="425" customFormat="1" ht="15" x14ac:dyDescent="0.25">
      <c r="A43" s="417"/>
      <c r="B43" s="418" t="s">
        <v>110</v>
      </c>
      <c r="C43" s="428" t="s">
        <v>41</v>
      </c>
      <c r="D43" s="204" t="s">
        <v>318</v>
      </c>
      <c r="E43" s="205" t="s">
        <v>41</v>
      </c>
      <c r="F43" s="206"/>
      <c r="G43" s="207"/>
      <c r="H43" s="208" t="str">
        <f t="shared" ref="H43" si="20">IF(F43="","",VLOOKUP(F43,F$45:H$65,3,FALSE)*G43)</f>
        <v/>
      </c>
      <c r="I43" s="209" t="str">
        <f t="shared" ref="I43" si="21">IF(G43="","",G43*H$65+H43)</f>
        <v/>
      </c>
      <c r="J43" s="210">
        <f>J41+8.5</f>
        <v>88.271058201058196</v>
      </c>
      <c r="K43" s="211">
        <f>K41+100</f>
        <v>390</v>
      </c>
      <c r="L43" s="212">
        <v>550</v>
      </c>
      <c r="M43" s="420">
        <v>0</v>
      </c>
      <c r="N43" s="420"/>
      <c r="O43" s="420"/>
      <c r="P43" s="421">
        <v>3</v>
      </c>
      <c r="Q43" s="124">
        <f>A43</f>
        <v>0</v>
      </c>
      <c r="R43" s="422" t="s">
        <v>42</v>
      </c>
      <c r="S43" s="429" t="s">
        <v>111</v>
      </c>
      <c r="T43" s="423"/>
      <c r="U43" s="423"/>
    </row>
    <row r="44" spans="1:21" s="155" customFormat="1" ht="18" customHeight="1" x14ac:dyDescent="0.25">
      <c r="A44" s="181"/>
      <c r="B44" s="213" t="s">
        <v>200</v>
      </c>
      <c r="C44" s="214"/>
      <c r="D44" s="183" t="s">
        <v>175</v>
      </c>
      <c r="E44" s="182"/>
      <c r="F44" s="142"/>
      <c r="G44" s="184"/>
      <c r="H44" s="185"/>
      <c r="I44" s="184"/>
      <c r="J44" s="186"/>
      <c r="K44" s="187"/>
      <c r="L44" s="188"/>
      <c r="M44" s="189"/>
      <c r="N44" s="190"/>
      <c r="O44" s="190"/>
      <c r="P44" s="191"/>
      <c r="Q44" s="170"/>
      <c r="R44" s="154"/>
    </row>
    <row r="45" spans="1:21" s="172" customFormat="1" ht="15" x14ac:dyDescent="0.25">
      <c r="A45" s="156"/>
      <c r="B45" s="215" t="s">
        <v>201</v>
      </c>
      <c r="C45" s="216"/>
      <c r="D45" s="159" t="s">
        <v>176</v>
      </c>
      <c r="E45" s="176" t="s">
        <v>14</v>
      </c>
      <c r="F45" s="176">
        <v>1</v>
      </c>
      <c r="G45" s="164"/>
      <c r="H45" s="163">
        <v>12.15</v>
      </c>
      <c r="I45" s="164"/>
      <c r="J45" s="217"/>
      <c r="K45" s="179">
        <v>30</v>
      </c>
      <c r="L45" s="218"/>
      <c r="M45" s="168"/>
      <c r="N45" s="168"/>
      <c r="O45" s="168"/>
      <c r="P45" s="169"/>
      <c r="Q45" s="170"/>
      <c r="R45" s="171" t="s">
        <v>42</v>
      </c>
      <c r="S45" s="172">
        <v>1002</v>
      </c>
      <c r="T45" s="155"/>
    </row>
    <row r="46" spans="1:21" s="172" customFormat="1" ht="15" x14ac:dyDescent="0.25">
      <c r="A46" s="156"/>
      <c r="B46" s="215" t="s">
        <v>202</v>
      </c>
      <c r="C46" s="216"/>
      <c r="D46" s="159" t="s">
        <v>177</v>
      </c>
      <c r="E46" s="176" t="s">
        <v>14</v>
      </c>
      <c r="F46" s="176" t="s">
        <v>193</v>
      </c>
      <c r="G46" s="164"/>
      <c r="H46" s="163">
        <v>13.95</v>
      </c>
      <c r="I46" s="164"/>
      <c r="J46" s="217"/>
      <c r="K46" s="179">
        <v>36.299999999999997</v>
      </c>
      <c r="L46" s="218"/>
      <c r="M46" s="168"/>
      <c r="N46" s="168"/>
      <c r="O46" s="168"/>
      <c r="P46" s="169"/>
      <c r="Q46" s="170"/>
      <c r="R46" s="171"/>
      <c r="T46" s="155"/>
    </row>
    <row r="47" spans="1:21" s="172" customFormat="1" ht="15" x14ac:dyDescent="0.25">
      <c r="A47" s="156"/>
      <c r="B47" s="215" t="s">
        <v>203</v>
      </c>
      <c r="C47" s="216"/>
      <c r="D47" s="159" t="s">
        <v>178</v>
      </c>
      <c r="E47" s="176" t="s">
        <v>14</v>
      </c>
      <c r="F47" s="176">
        <v>2</v>
      </c>
      <c r="G47" s="164"/>
      <c r="H47" s="163">
        <v>14.11</v>
      </c>
      <c r="I47" s="164"/>
      <c r="J47" s="217"/>
      <c r="K47" s="179">
        <v>32</v>
      </c>
      <c r="L47" s="218"/>
      <c r="M47" s="168"/>
      <c r="N47" s="168"/>
      <c r="O47" s="168"/>
      <c r="P47" s="169"/>
      <c r="Q47" s="170"/>
      <c r="R47" s="171" t="s">
        <v>42</v>
      </c>
      <c r="S47" s="172">
        <v>1003</v>
      </c>
      <c r="T47" s="155"/>
    </row>
    <row r="48" spans="1:21" s="172" customFormat="1" ht="15" x14ac:dyDescent="0.25">
      <c r="A48" s="156"/>
      <c r="B48" s="219" t="s">
        <v>204</v>
      </c>
      <c r="C48" s="216"/>
      <c r="D48" s="159" t="s">
        <v>179</v>
      </c>
      <c r="E48" s="176" t="s">
        <v>14</v>
      </c>
      <c r="F48" s="176" t="s">
        <v>194</v>
      </c>
      <c r="G48" s="164"/>
      <c r="H48" s="163">
        <v>15.91</v>
      </c>
      <c r="I48" s="164"/>
      <c r="J48" s="217"/>
      <c r="K48" s="179">
        <v>38.299999999999997</v>
      </c>
      <c r="L48" s="218"/>
      <c r="M48" s="168"/>
      <c r="N48" s="168"/>
      <c r="O48" s="168"/>
      <c r="P48" s="169"/>
      <c r="Q48" s="170"/>
      <c r="R48" s="171"/>
      <c r="T48" s="155"/>
    </row>
    <row r="49" spans="1:20" s="172" customFormat="1" ht="15" x14ac:dyDescent="0.25">
      <c r="A49" s="156"/>
      <c r="B49" s="219" t="s">
        <v>205</v>
      </c>
      <c r="C49" s="216"/>
      <c r="D49" s="159" t="s">
        <v>180</v>
      </c>
      <c r="E49" s="176" t="s">
        <v>14</v>
      </c>
      <c r="F49" s="176">
        <v>3</v>
      </c>
      <c r="G49" s="164"/>
      <c r="H49" s="163">
        <v>18.73</v>
      </c>
      <c r="I49" s="164"/>
      <c r="J49" s="217"/>
      <c r="K49" s="179">
        <v>40</v>
      </c>
      <c r="L49" s="218"/>
      <c r="M49" s="168"/>
      <c r="N49" s="168"/>
      <c r="O49" s="168"/>
      <c r="P49" s="169"/>
      <c r="Q49" s="170"/>
      <c r="R49" s="171" t="s">
        <v>42</v>
      </c>
      <c r="S49" s="172">
        <v>1005</v>
      </c>
      <c r="T49" s="155"/>
    </row>
    <row r="50" spans="1:20" s="172" customFormat="1" ht="15" x14ac:dyDescent="0.25">
      <c r="A50" s="156"/>
      <c r="B50" s="219" t="s">
        <v>206</v>
      </c>
      <c r="C50" s="216"/>
      <c r="D50" s="159" t="s">
        <v>181</v>
      </c>
      <c r="E50" s="176" t="s">
        <v>14</v>
      </c>
      <c r="F50" s="176" t="s">
        <v>195</v>
      </c>
      <c r="G50" s="164"/>
      <c r="H50" s="163">
        <v>20.7</v>
      </c>
      <c r="I50" s="164"/>
      <c r="J50" s="217"/>
      <c r="K50" s="179">
        <v>47.2</v>
      </c>
      <c r="L50" s="218"/>
      <c r="M50" s="168"/>
      <c r="N50" s="168"/>
      <c r="O50" s="168"/>
      <c r="P50" s="169"/>
      <c r="Q50" s="170"/>
      <c r="R50" s="171"/>
      <c r="T50" s="155"/>
    </row>
    <row r="51" spans="1:20" s="172" customFormat="1" ht="15" x14ac:dyDescent="0.25">
      <c r="A51" s="156"/>
      <c r="B51" s="215" t="s">
        <v>207</v>
      </c>
      <c r="C51" s="216"/>
      <c r="D51" s="159" t="s">
        <v>182</v>
      </c>
      <c r="E51" s="176" t="s">
        <v>14</v>
      </c>
      <c r="F51" s="176">
        <v>4</v>
      </c>
      <c r="G51" s="164"/>
      <c r="H51" s="163">
        <v>21.09</v>
      </c>
      <c r="I51" s="164"/>
      <c r="J51" s="217"/>
      <c r="K51" s="179">
        <v>45</v>
      </c>
      <c r="L51" s="218"/>
      <c r="M51" s="168"/>
      <c r="N51" s="168"/>
      <c r="O51" s="168"/>
      <c r="P51" s="169"/>
      <c r="Q51" s="170"/>
      <c r="R51" s="171" t="s">
        <v>42</v>
      </c>
      <c r="S51" s="172">
        <v>1006</v>
      </c>
      <c r="T51" s="155"/>
    </row>
    <row r="52" spans="1:20" s="172" customFormat="1" ht="15" x14ac:dyDescent="0.25">
      <c r="A52" s="156"/>
      <c r="B52" s="215" t="s">
        <v>208</v>
      </c>
      <c r="C52" s="216"/>
      <c r="D52" s="159" t="s">
        <v>183</v>
      </c>
      <c r="E52" s="176" t="s">
        <v>14</v>
      </c>
      <c r="F52" s="176" t="s">
        <v>196</v>
      </c>
      <c r="G52" s="164"/>
      <c r="H52" s="163">
        <v>23.06</v>
      </c>
      <c r="I52" s="164"/>
      <c r="J52" s="217"/>
      <c r="K52" s="179">
        <v>52.2</v>
      </c>
      <c r="L52" s="218"/>
      <c r="M52" s="168"/>
      <c r="N52" s="168"/>
      <c r="O52" s="168"/>
      <c r="P52" s="169"/>
      <c r="Q52" s="170"/>
      <c r="R52" s="171"/>
      <c r="T52" s="155"/>
    </row>
    <row r="53" spans="1:20" s="172" customFormat="1" ht="15" x14ac:dyDescent="0.25">
      <c r="A53" s="156"/>
      <c r="B53" s="215" t="s">
        <v>209</v>
      </c>
      <c r="C53" s="216"/>
      <c r="D53" s="159" t="s">
        <v>184</v>
      </c>
      <c r="E53" s="176" t="s">
        <v>14</v>
      </c>
      <c r="F53" s="176">
        <v>5</v>
      </c>
      <c r="G53" s="164"/>
      <c r="H53" s="163">
        <v>30.19</v>
      </c>
      <c r="I53" s="164"/>
      <c r="J53" s="217"/>
      <c r="K53" s="179">
        <v>62</v>
      </c>
      <c r="L53" s="218"/>
      <c r="M53" s="168"/>
      <c r="N53" s="168"/>
      <c r="O53" s="168"/>
      <c r="P53" s="169"/>
      <c r="Q53" s="170"/>
      <c r="R53" s="171" t="s">
        <v>42</v>
      </c>
      <c r="S53" s="172">
        <v>1011</v>
      </c>
      <c r="T53" s="155"/>
    </row>
    <row r="54" spans="1:20" s="172" customFormat="1" ht="15" x14ac:dyDescent="0.25">
      <c r="A54" s="156"/>
      <c r="B54" s="219" t="s">
        <v>210</v>
      </c>
      <c r="C54" s="216"/>
      <c r="D54" s="159" t="s">
        <v>185</v>
      </c>
      <c r="E54" s="176" t="s">
        <v>14</v>
      </c>
      <c r="F54" s="176" t="s">
        <v>197</v>
      </c>
      <c r="G54" s="164"/>
      <c r="H54" s="163">
        <v>32.159999999999997</v>
      </c>
      <c r="I54" s="164"/>
      <c r="J54" s="217"/>
      <c r="K54" s="179">
        <v>69.2</v>
      </c>
      <c r="L54" s="218"/>
      <c r="M54" s="168"/>
      <c r="N54" s="168"/>
      <c r="O54" s="168"/>
      <c r="P54" s="169"/>
      <c r="Q54" s="170"/>
      <c r="R54" s="171"/>
      <c r="T54" s="155"/>
    </row>
    <row r="55" spans="1:20" s="172" customFormat="1" ht="15" x14ac:dyDescent="0.25">
      <c r="A55" s="156"/>
      <c r="B55" s="219" t="s">
        <v>229</v>
      </c>
      <c r="C55" s="216"/>
      <c r="D55" s="159" t="s">
        <v>230</v>
      </c>
      <c r="E55" s="176" t="s">
        <v>14</v>
      </c>
      <c r="F55" s="176">
        <v>6</v>
      </c>
      <c r="G55" s="164"/>
      <c r="H55" s="163">
        <v>10.7</v>
      </c>
      <c r="I55" s="164"/>
      <c r="J55" s="217"/>
      <c r="K55" s="179">
        <v>30</v>
      </c>
      <c r="L55" s="218"/>
      <c r="M55" s="168"/>
      <c r="N55" s="168"/>
      <c r="O55" s="168"/>
      <c r="P55" s="169"/>
      <c r="Q55" s="170"/>
      <c r="R55" s="171" t="s">
        <v>42</v>
      </c>
      <c r="S55" s="172">
        <v>1043</v>
      </c>
      <c r="T55" s="155"/>
    </row>
    <row r="56" spans="1:20" s="172" customFormat="1" ht="15" x14ac:dyDescent="0.25">
      <c r="A56" s="156"/>
      <c r="B56" s="219" t="s">
        <v>211</v>
      </c>
      <c r="C56" s="216"/>
      <c r="D56" s="159" t="s">
        <v>186</v>
      </c>
      <c r="E56" s="176" t="s">
        <v>14</v>
      </c>
      <c r="F56" s="176">
        <v>7</v>
      </c>
      <c r="G56" s="164"/>
      <c r="H56" s="163">
        <v>15.06</v>
      </c>
      <c r="I56" s="164"/>
      <c r="J56" s="217"/>
      <c r="K56" s="179">
        <v>38</v>
      </c>
      <c r="L56" s="218"/>
      <c r="M56" s="168"/>
      <c r="N56" s="168"/>
      <c r="O56" s="168"/>
      <c r="P56" s="169"/>
      <c r="Q56" s="170"/>
      <c r="R56" s="171" t="s">
        <v>42</v>
      </c>
      <c r="S56" s="172">
        <v>1044</v>
      </c>
      <c r="T56" s="155"/>
    </row>
    <row r="57" spans="1:20" s="172" customFormat="1" ht="15" x14ac:dyDescent="0.25">
      <c r="A57" s="156"/>
      <c r="B57" s="215" t="s">
        <v>231</v>
      </c>
      <c r="C57" s="216"/>
      <c r="D57" s="159" t="s">
        <v>232</v>
      </c>
      <c r="E57" s="176" t="s">
        <v>14</v>
      </c>
      <c r="F57" s="176">
        <v>8</v>
      </c>
      <c r="G57" s="164"/>
      <c r="H57" s="163">
        <v>16.940000000000001</v>
      </c>
      <c r="I57" s="164"/>
      <c r="J57" s="217"/>
      <c r="K57" s="179">
        <v>44</v>
      </c>
      <c r="L57" s="218"/>
      <c r="M57" s="168"/>
      <c r="N57" s="168"/>
      <c r="O57" s="168"/>
      <c r="P57" s="169"/>
      <c r="Q57" s="170"/>
      <c r="R57" s="171" t="s">
        <v>42</v>
      </c>
      <c r="S57" s="172">
        <v>1045</v>
      </c>
      <c r="T57" s="155"/>
    </row>
    <row r="58" spans="1:20" s="172" customFormat="1" ht="15" x14ac:dyDescent="0.25">
      <c r="A58" s="156"/>
      <c r="B58" s="215" t="s">
        <v>212</v>
      </c>
      <c r="C58" s="216"/>
      <c r="D58" s="159" t="s">
        <v>187</v>
      </c>
      <c r="E58" s="176" t="s">
        <v>14</v>
      </c>
      <c r="F58" s="176">
        <v>9</v>
      </c>
      <c r="G58" s="164"/>
      <c r="H58" s="163">
        <v>19.52</v>
      </c>
      <c r="I58" s="164"/>
      <c r="J58" s="217"/>
      <c r="K58" s="179">
        <v>57</v>
      </c>
      <c r="L58" s="218"/>
      <c r="M58" s="168"/>
      <c r="N58" s="168"/>
      <c r="O58" s="168"/>
      <c r="P58" s="169"/>
      <c r="Q58" s="170"/>
      <c r="R58" s="220" t="s">
        <v>42</v>
      </c>
      <c r="S58" s="221">
        <v>1061</v>
      </c>
      <c r="T58" s="155"/>
    </row>
    <row r="59" spans="1:20" s="172" customFormat="1" ht="15" x14ac:dyDescent="0.25">
      <c r="A59" s="156"/>
      <c r="B59" s="215" t="s">
        <v>213</v>
      </c>
      <c r="C59" s="216"/>
      <c r="D59" s="159" t="s">
        <v>188</v>
      </c>
      <c r="E59" s="176" t="s">
        <v>14</v>
      </c>
      <c r="F59" s="176">
        <v>10</v>
      </c>
      <c r="G59" s="164"/>
      <c r="H59" s="163">
        <v>14.75</v>
      </c>
      <c r="I59" s="164"/>
      <c r="J59" s="217"/>
      <c r="K59" s="179">
        <v>45</v>
      </c>
      <c r="L59" s="218"/>
      <c r="M59" s="168"/>
      <c r="N59" s="168"/>
      <c r="O59" s="168"/>
      <c r="P59" s="169"/>
      <c r="Q59" s="170"/>
      <c r="R59" s="220" t="s">
        <v>42</v>
      </c>
      <c r="S59" s="221">
        <v>1051</v>
      </c>
      <c r="T59" s="155"/>
    </row>
    <row r="60" spans="1:20" s="172" customFormat="1" ht="15" x14ac:dyDescent="0.25">
      <c r="A60" s="156"/>
      <c r="B60" s="219" t="s">
        <v>214</v>
      </c>
      <c r="C60" s="216"/>
      <c r="D60" s="159" t="s">
        <v>189</v>
      </c>
      <c r="E60" s="176" t="s">
        <v>14</v>
      </c>
      <c r="F60" s="176">
        <v>11</v>
      </c>
      <c r="G60" s="164"/>
      <c r="H60" s="163">
        <v>14.37</v>
      </c>
      <c r="I60" s="164"/>
      <c r="J60" s="217"/>
      <c r="K60" s="179">
        <v>36</v>
      </c>
      <c r="L60" s="218"/>
      <c r="M60" s="168"/>
      <c r="N60" s="168"/>
      <c r="O60" s="168"/>
      <c r="P60" s="169"/>
      <c r="Q60" s="170"/>
      <c r="R60" s="220" t="s">
        <v>42</v>
      </c>
      <c r="S60" s="222">
        <v>1059</v>
      </c>
      <c r="T60" s="155"/>
    </row>
    <row r="61" spans="1:20" s="172" customFormat="1" ht="15" x14ac:dyDescent="0.25">
      <c r="A61" s="156"/>
      <c r="B61" s="219" t="s">
        <v>215</v>
      </c>
      <c r="C61" s="216"/>
      <c r="D61" s="159" t="s">
        <v>190</v>
      </c>
      <c r="E61" s="176" t="s">
        <v>14</v>
      </c>
      <c r="F61" s="176" t="s">
        <v>198</v>
      </c>
      <c r="G61" s="164"/>
      <c r="H61" s="163"/>
      <c r="I61" s="164"/>
      <c r="J61" s="217"/>
      <c r="K61" s="179"/>
      <c r="L61" s="218"/>
      <c r="M61" s="168"/>
      <c r="N61" s="168"/>
      <c r="O61" s="168"/>
      <c r="P61" s="169"/>
      <c r="Q61" s="170"/>
      <c r="R61" s="220"/>
      <c r="S61" s="222"/>
      <c r="T61" s="155"/>
    </row>
    <row r="62" spans="1:20" s="172" customFormat="1" ht="15" x14ac:dyDescent="0.25">
      <c r="A62" s="156"/>
      <c r="B62" s="219" t="s">
        <v>216</v>
      </c>
      <c r="C62" s="216"/>
      <c r="D62" s="159" t="s">
        <v>191</v>
      </c>
      <c r="E62" s="176" t="s">
        <v>14</v>
      </c>
      <c r="F62" s="176" t="s">
        <v>199</v>
      </c>
      <c r="G62" s="164"/>
      <c r="H62" s="163">
        <v>1.8</v>
      </c>
      <c r="I62" s="164"/>
      <c r="J62" s="217"/>
      <c r="K62" s="179">
        <v>6.3</v>
      </c>
      <c r="L62" s="218"/>
      <c r="M62" s="168"/>
      <c r="N62" s="168"/>
      <c r="O62" s="168"/>
      <c r="P62" s="169"/>
      <c r="Q62" s="170"/>
      <c r="R62" s="220" t="s">
        <v>42</v>
      </c>
      <c r="S62" s="222" t="s">
        <v>233</v>
      </c>
      <c r="T62" s="155"/>
    </row>
    <row r="63" spans="1:20" s="172" customFormat="1" ht="15" x14ac:dyDescent="0.25">
      <c r="A63" s="156"/>
      <c r="B63" s="223" t="s">
        <v>217</v>
      </c>
      <c r="C63" s="216"/>
      <c r="D63" s="159" t="s">
        <v>192</v>
      </c>
      <c r="E63" s="176" t="s">
        <v>14</v>
      </c>
      <c r="F63" s="176" t="s">
        <v>199</v>
      </c>
      <c r="G63" s="164"/>
      <c r="H63" s="163">
        <v>1.97</v>
      </c>
      <c r="I63" s="164"/>
      <c r="J63" s="217"/>
      <c r="K63" s="179">
        <v>7.2</v>
      </c>
      <c r="L63" s="218"/>
      <c r="M63" s="168"/>
      <c r="N63" s="168"/>
      <c r="O63" s="168"/>
      <c r="P63" s="169"/>
      <c r="Q63" s="170"/>
      <c r="R63" s="220" t="s">
        <v>42</v>
      </c>
      <c r="S63" s="222" t="s">
        <v>234</v>
      </c>
      <c r="T63" s="155"/>
    </row>
    <row r="64" spans="1:20" s="172" customFormat="1" ht="15" x14ac:dyDescent="0.25">
      <c r="A64" s="156"/>
      <c r="B64" s="223" t="s">
        <v>226</v>
      </c>
      <c r="C64" s="216"/>
      <c r="D64" s="159" t="s">
        <v>227</v>
      </c>
      <c r="E64" s="224" t="s">
        <v>41</v>
      </c>
      <c r="F64" s="224" t="s">
        <v>228</v>
      </c>
      <c r="G64" s="225"/>
      <c r="H64" s="226">
        <v>8.25</v>
      </c>
      <c r="I64" s="225"/>
      <c r="J64" s="227"/>
      <c r="K64" s="228">
        <v>56</v>
      </c>
      <c r="L64" s="229"/>
      <c r="M64" s="168"/>
      <c r="N64" s="168"/>
      <c r="O64" s="168"/>
      <c r="P64" s="169"/>
      <c r="Q64" s="170"/>
      <c r="R64" s="171" t="s">
        <v>42</v>
      </c>
      <c r="S64" s="172">
        <v>5095</v>
      </c>
      <c r="T64" s="155"/>
    </row>
    <row r="65" spans="1:20" s="172" customFormat="1" ht="15" x14ac:dyDescent="0.25">
      <c r="A65" s="156"/>
      <c r="B65" s="223" t="s">
        <v>218</v>
      </c>
      <c r="C65" s="216"/>
      <c r="D65" s="204" t="s">
        <v>219</v>
      </c>
      <c r="E65" s="205" t="s">
        <v>14</v>
      </c>
      <c r="F65" s="205" t="s">
        <v>220</v>
      </c>
      <c r="G65" s="209"/>
      <c r="H65" s="208">
        <v>5</v>
      </c>
      <c r="I65" s="209"/>
      <c r="J65" s="230"/>
      <c r="K65" s="231">
        <v>78</v>
      </c>
      <c r="L65" s="232"/>
      <c r="M65" s="168"/>
      <c r="N65" s="168"/>
      <c r="O65" s="168"/>
      <c r="P65" s="169"/>
      <c r="Q65" s="170"/>
      <c r="R65" s="171" t="s">
        <v>81</v>
      </c>
      <c r="T65" s="155"/>
    </row>
    <row r="66" spans="1:20" s="155" customFormat="1" ht="18" customHeight="1" x14ac:dyDescent="0.25">
      <c r="A66" s="233">
        <v>0</v>
      </c>
      <c r="B66" s="234"/>
      <c r="C66" s="233"/>
      <c r="D66" s="235" t="s">
        <v>50</v>
      </c>
      <c r="E66" s="235"/>
      <c r="F66" s="235"/>
      <c r="G66" s="184"/>
      <c r="H66" s="185"/>
      <c r="I66" s="184"/>
      <c r="J66" s="236"/>
      <c r="K66" s="237"/>
      <c r="L66" s="237"/>
      <c r="M66" s="189"/>
      <c r="N66" s="190"/>
      <c r="O66" s="190"/>
      <c r="P66" s="238"/>
      <c r="Q66" s="170">
        <f t="shared" ref="Q66:Q85" si="22">A66</f>
        <v>0</v>
      </c>
      <c r="R66" s="154"/>
    </row>
    <row r="67" spans="1:20" s="197" customFormat="1" ht="12" customHeight="1" x14ac:dyDescent="0.25">
      <c r="A67" s="170"/>
      <c r="B67" s="239"/>
      <c r="C67" s="240"/>
      <c r="D67" s="241" t="s">
        <v>136</v>
      </c>
      <c r="E67" s="242"/>
      <c r="F67" s="242"/>
      <c r="G67" s="243"/>
      <c r="H67" s="244"/>
      <c r="I67" s="243"/>
      <c r="J67" s="245"/>
      <c r="K67" s="245"/>
      <c r="L67" s="245"/>
      <c r="M67" s="243"/>
      <c r="N67" s="243"/>
      <c r="O67" s="246"/>
      <c r="P67" s="170"/>
      <c r="Q67" s="170">
        <f t="shared" si="22"/>
        <v>0</v>
      </c>
      <c r="R67" s="247"/>
    </row>
    <row r="68" spans="1:20" s="197" customFormat="1" ht="12" customHeight="1" x14ac:dyDescent="0.25">
      <c r="A68" s="170"/>
      <c r="B68" s="239"/>
      <c r="C68" s="240"/>
      <c r="D68" s="241" t="s">
        <v>164</v>
      </c>
      <c r="E68" s="242"/>
      <c r="F68" s="242"/>
      <c r="G68" s="243"/>
      <c r="H68" s="244"/>
      <c r="I68" s="243"/>
      <c r="J68" s="245"/>
      <c r="K68" s="245"/>
      <c r="L68" s="245"/>
      <c r="M68" s="243"/>
      <c r="N68" s="243"/>
      <c r="O68" s="246"/>
      <c r="P68" s="170"/>
      <c r="Q68" s="170"/>
      <c r="R68" s="247"/>
    </row>
    <row r="69" spans="1:20" s="197" customFormat="1" ht="12" customHeight="1" x14ac:dyDescent="0.25">
      <c r="A69" s="170"/>
      <c r="B69" s="239"/>
      <c r="C69" s="240"/>
      <c r="D69" s="241" t="s">
        <v>165</v>
      </c>
      <c r="E69" s="242"/>
      <c r="F69" s="242"/>
      <c r="G69" s="243"/>
      <c r="H69" s="244"/>
      <c r="I69" s="243"/>
      <c r="J69" s="245"/>
      <c r="K69" s="245"/>
      <c r="L69" s="245"/>
      <c r="M69" s="243"/>
      <c r="N69" s="243"/>
      <c r="O69" s="246"/>
      <c r="P69" s="170"/>
      <c r="Q69" s="170"/>
      <c r="R69" s="247"/>
    </row>
    <row r="70" spans="1:20" s="197" customFormat="1" ht="12" customHeight="1" x14ac:dyDescent="0.25">
      <c r="A70" s="170"/>
      <c r="B70" s="239"/>
      <c r="C70" s="240"/>
      <c r="D70" s="241" t="s">
        <v>120</v>
      </c>
      <c r="E70" s="242"/>
      <c r="F70" s="242"/>
      <c r="G70" s="243"/>
      <c r="H70" s="244"/>
      <c r="I70" s="243"/>
      <c r="J70" s="245"/>
      <c r="K70" s="245"/>
      <c r="L70" s="245"/>
      <c r="M70" s="243"/>
      <c r="N70" s="243"/>
      <c r="O70" s="246"/>
      <c r="P70" s="170"/>
      <c r="Q70" s="170"/>
      <c r="R70" s="247"/>
    </row>
    <row r="71" spans="1:20" s="197" customFormat="1" ht="12" customHeight="1" x14ac:dyDescent="0.25">
      <c r="A71" s="170">
        <v>0</v>
      </c>
      <c r="B71" s="239"/>
      <c r="C71" s="240"/>
      <c r="D71" s="241" t="s">
        <v>119</v>
      </c>
      <c r="E71" s="170"/>
      <c r="F71" s="170"/>
      <c r="G71" s="243"/>
      <c r="H71" s="244"/>
      <c r="I71" s="243"/>
      <c r="J71" s="245"/>
      <c r="K71" s="245"/>
      <c r="L71" s="245"/>
      <c r="M71" s="243"/>
      <c r="N71" s="243"/>
      <c r="O71" s="246"/>
      <c r="P71" s="170"/>
      <c r="Q71" s="170">
        <f t="shared" si="22"/>
        <v>0</v>
      </c>
      <c r="R71" s="247"/>
    </row>
    <row r="72" spans="1:20" s="197" customFormat="1" ht="12" customHeight="1" x14ac:dyDescent="0.25">
      <c r="A72" s="170">
        <v>0</v>
      </c>
      <c r="B72" s="239"/>
      <c r="C72" s="240"/>
      <c r="D72" s="241"/>
      <c r="E72" s="170"/>
      <c r="F72" s="170"/>
      <c r="G72" s="243"/>
      <c r="H72" s="244"/>
      <c r="I72" s="243"/>
      <c r="J72" s="245"/>
      <c r="K72" s="245"/>
      <c r="L72" s="245"/>
      <c r="M72" s="243"/>
      <c r="N72" s="243"/>
      <c r="O72" s="246"/>
      <c r="P72" s="170"/>
      <c r="Q72" s="170">
        <f t="shared" si="22"/>
        <v>0</v>
      </c>
      <c r="R72" s="247"/>
    </row>
    <row r="73" spans="1:20" s="255" customFormat="1" ht="12" customHeight="1" x14ac:dyDescent="0.25">
      <c r="A73" s="153">
        <v>0</v>
      </c>
      <c r="B73" s="248"/>
      <c r="C73" s="249"/>
      <c r="D73" s="250" t="s">
        <v>51</v>
      </c>
      <c r="E73" s="153"/>
      <c r="F73" s="153"/>
      <c r="G73" s="251"/>
      <c r="H73" s="252"/>
      <c r="I73" s="251"/>
      <c r="J73" s="253"/>
      <c r="K73" s="253"/>
      <c r="L73" s="253"/>
      <c r="M73" s="251"/>
      <c r="N73" s="251"/>
      <c r="O73" s="150"/>
      <c r="P73" s="153"/>
      <c r="Q73" s="170">
        <f t="shared" si="22"/>
        <v>0</v>
      </c>
      <c r="R73" s="254"/>
    </row>
    <row r="74" spans="1:20" s="197" customFormat="1" ht="12" customHeight="1" x14ac:dyDescent="0.25">
      <c r="A74" s="170">
        <v>0</v>
      </c>
      <c r="B74" s="239"/>
      <c r="C74" s="240"/>
      <c r="D74" s="256" t="s">
        <v>52</v>
      </c>
      <c r="E74" s="257"/>
      <c r="F74" s="257"/>
      <c r="G74" s="243"/>
      <c r="H74" s="257"/>
      <c r="I74" s="243"/>
      <c r="J74" s="245"/>
      <c r="K74" s="245"/>
      <c r="L74" s="245"/>
      <c r="M74" s="243"/>
      <c r="N74" s="243"/>
      <c r="O74" s="246"/>
      <c r="P74" s="170"/>
      <c r="Q74" s="170"/>
      <c r="R74" s="247"/>
    </row>
    <row r="75" spans="1:20" s="197" customFormat="1" ht="12" customHeight="1" x14ac:dyDescent="0.25">
      <c r="A75" s="170">
        <v>0</v>
      </c>
      <c r="B75" s="239"/>
      <c r="C75" s="240"/>
      <c r="D75" s="241" t="s">
        <v>221</v>
      </c>
      <c r="E75" s="170"/>
      <c r="F75" s="170"/>
      <c r="G75" s="243"/>
      <c r="H75" s="244"/>
      <c r="I75" s="243"/>
      <c r="J75" s="245"/>
      <c r="K75" s="245"/>
      <c r="L75" s="245"/>
      <c r="M75" s="243"/>
      <c r="N75" s="243"/>
      <c r="O75" s="246"/>
      <c r="P75" s="170"/>
      <c r="Q75" s="170"/>
      <c r="R75" s="247"/>
    </row>
    <row r="76" spans="1:20" s="197" customFormat="1" ht="12" customHeight="1" x14ac:dyDescent="0.25">
      <c r="A76" s="170"/>
      <c r="B76" s="239"/>
      <c r="C76" s="240"/>
      <c r="D76" s="241" t="s">
        <v>53</v>
      </c>
      <c r="E76" s="170"/>
      <c r="F76" s="170"/>
      <c r="G76" s="243"/>
      <c r="H76" s="244"/>
      <c r="I76" s="243"/>
      <c r="J76" s="245"/>
      <c r="K76" s="245"/>
      <c r="L76" s="245"/>
      <c r="M76" s="243"/>
      <c r="N76" s="243"/>
      <c r="O76" s="246"/>
      <c r="P76" s="170"/>
      <c r="Q76" s="170"/>
      <c r="R76" s="247"/>
    </row>
    <row r="77" spans="1:20" s="197" customFormat="1" ht="12" customHeight="1" x14ac:dyDescent="0.25">
      <c r="A77" s="170">
        <v>0</v>
      </c>
      <c r="B77" s="239"/>
      <c r="C77" s="240"/>
      <c r="D77" s="241"/>
      <c r="E77" s="170"/>
      <c r="F77" s="170"/>
      <c r="G77" s="243"/>
      <c r="H77" s="244"/>
      <c r="I77" s="243"/>
      <c r="J77" s="245"/>
      <c r="K77" s="245"/>
      <c r="L77" s="245"/>
      <c r="M77" s="243"/>
      <c r="N77" s="243"/>
      <c r="O77" s="246"/>
      <c r="P77" s="170"/>
      <c r="Q77" s="170">
        <f t="shared" si="22"/>
        <v>0</v>
      </c>
      <c r="R77" s="247"/>
    </row>
    <row r="78" spans="1:20" s="255" customFormat="1" ht="12" customHeight="1" x14ac:dyDescent="0.25">
      <c r="A78" s="153">
        <v>0</v>
      </c>
      <c r="B78" s="248"/>
      <c r="C78" s="249"/>
      <c r="D78" s="250"/>
      <c r="E78" s="153"/>
      <c r="F78" s="153"/>
      <c r="G78" s="251"/>
      <c r="H78" s="252"/>
      <c r="I78" s="251"/>
      <c r="J78" s="253"/>
      <c r="K78" s="253"/>
      <c r="L78" s="253"/>
      <c r="M78" s="251"/>
      <c r="N78" s="251"/>
      <c r="O78" s="150"/>
      <c r="P78" s="153"/>
      <c r="Q78" s="170">
        <f t="shared" si="22"/>
        <v>0</v>
      </c>
      <c r="R78" s="254"/>
    </row>
    <row r="79" spans="1:20" s="266" customFormat="1" ht="12" customHeight="1" x14ac:dyDescent="0.25">
      <c r="A79" s="258">
        <v>0</v>
      </c>
      <c r="B79" s="259"/>
      <c r="C79" s="260"/>
      <c r="D79" s="25" t="s">
        <v>166</v>
      </c>
      <c r="E79" s="258"/>
      <c r="F79" s="258"/>
      <c r="G79" s="261"/>
      <c r="H79" s="262"/>
      <c r="I79" s="261"/>
      <c r="J79" s="261"/>
      <c r="K79" s="261"/>
      <c r="L79" s="261"/>
      <c r="M79" s="263"/>
      <c r="N79" s="261"/>
      <c r="O79" s="264"/>
      <c r="P79" s="258"/>
      <c r="Q79" s="170">
        <f t="shared" si="22"/>
        <v>0</v>
      </c>
      <c r="R79" s="265"/>
    </row>
    <row r="80" spans="1:20" s="197" customFormat="1" ht="12" customHeight="1" x14ac:dyDescent="0.25">
      <c r="A80" s="170">
        <v>0</v>
      </c>
      <c r="B80" s="239"/>
      <c r="C80" s="240"/>
      <c r="D80" s="137" t="s">
        <v>122</v>
      </c>
      <c r="E80" s="170"/>
      <c r="F80" s="170"/>
      <c r="G80" s="243"/>
      <c r="H80" s="262"/>
      <c r="I80" s="243"/>
      <c r="J80" s="243"/>
      <c r="K80" s="243"/>
      <c r="L80" s="243"/>
      <c r="M80" s="245"/>
      <c r="N80" s="243"/>
      <c r="O80" s="246"/>
      <c r="P80" s="170"/>
      <c r="Q80" s="170">
        <f t="shared" si="22"/>
        <v>0</v>
      </c>
      <c r="R80" s="247"/>
    </row>
    <row r="81" spans="1:17" ht="12" customHeight="1" x14ac:dyDescent="0.2">
      <c r="A81" s="126">
        <v>0</v>
      </c>
      <c r="B81" s="127"/>
      <c r="C81" s="128"/>
      <c r="G81" s="130"/>
      <c r="H81" s="136"/>
      <c r="I81" s="130"/>
      <c r="J81" s="130"/>
      <c r="K81" s="130"/>
      <c r="L81" s="130"/>
      <c r="M81" s="132"/>
      <c r="Q81" s="124">
        <f t="shared" si="22"/>
        <v>0</v>
      </c>
    </row>
    <row r="82" spans="1:17" ht="12" customHeight="1" x14ac:dyDescent="0.2">
      <c r="A82" s="126">
        <v>0</v>
      </c>
      <c r="B82" s="127"/>
      <c r="C82" s="128"/>
      <c r="G82" s="130"/>
      <c r="H82" s="136"/>
      <c r="I82" s="130"/>
      <c r="J82" s="130"/>
      <c r="K82" s="130"/>
      <c r="L82" s="130"/>
      <c r="M82" s="132"/>
      <c r="Q82" s="124">
        <f t="shared" si="22"/>
        <v>0</v>
      </c>
    </row>
    <row r="83" spans="1:17" x14ac:dyDescent="0.2">
      <c r="A83" s="126">
        <v>0</v>
      </c>
      <c r="Q83" s="124">
        <f t="shared" si="22"/>
        <v>0</v>
      </c>
    </row>
    <row r="84" spans="1:17" x14ac:dyDescent="0.2">
      <c r="A84" s="126">
        <v>0</v>
      </c>
      <c r="Q84" s="124">
        <f t="shared" si="22"/>
        <v>0</v>
      </c>
    </row>
    <row r="85" spans="1:17" x14ac:dyDescent="0.2">
      <c r="A85" s="126">
        <v>0</v>
      </c>
      <c r="Q85" s="124">
        <f t="shared" si="22"/>
        <v>0</v>
      </c>
    </row>
    <row r="86" spans="1:17" x14ac:dyDescent="0.2">
      <c r="A86" s="135"/>
    </row>
  </sheetData>
  <sheetProtection sheet="1" objects="1" scenarios="1"/>
  <hyperlinks>
    <hyperlink ref="D80" r:id="rId1"/>
  </hyperlinks>
  <printOptions horizontalCentered="1" verticalCentered="1"/>
  <pageMargins left="0.31496062992125984" right="0.31496062992125984" top="0.94488188976377963" bottom="0.15748031496062992" header="0.31496062992125984" footer="0.23622047244094491"/>
  <pageSetup paperSize="9" fitToHeight="0" orientation="landscape" verticalDpi="300" r:id="rId2"/>
  <headerFooter>
    <oddHeader>&amp;L&amp;G&amp;C&amp;"-,Gras"&amp;14
                  Calculateur Marge-Brute SOJA-BIO&amp;R&amp;G</oddHeader>
    <oddFooter>&amp;C- 4 -</oddFooter>
  </headerFooter>
  <colBreaks count="1" manualBreakCount="1">
    <brk id="12" max="75" man="1"/>
  </colBreaks>
  <legacyDrawing r:id="rId3"/>
  <legacyDrawingHF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B17"/>
  <sheetViews>
    <sheetView workbookViewId="0">
      <selection activeCell="A6" sqref="A6:XFD6"/>
    </sheetView>
  </sheetViews>
  <sheetFormatPr baseColWidth="10" defaultRowHeight="15" x14ac:dyDescent="0.25"/>
  <cols>
    <col min="1" max="1" width="21.28515625" bestFit="1" customWidth="1"/>
  </cols>
  <sheetData>
    <row r="5" spans="1:2" x14ac:dyDescent="0.25">
      <c r="A5" s="3" t="s">
        <v>112</v>
      </c>
      <c r="B5" s="3"/>
    </row>
    <row r="6" spans="1:2" x14ac:dyDescent="0.25">
      <c r="A6" s="1" t="s">
        <v>137</v>
      </c>
      <c r="B6" s="1">
        <v>1</v>
      </c>
    </row>
    <row r="7" spans="1:2" x14ac:dyDescent="0.25">
      <c r="A7" s="2" t="s">
        <v>138</v>
      </c>
      <c r="B7" s="2">
        <v>2</v>
      </c>
    </row>
    <row r="10" spans="1:2" x14ac:dyDescent="0.25">
      <c r="A10" s="3" t="s">
        <v>113</v>
      </c>
      <c r="B10" s="3"/>
    </row>
    <row r="11" spans="1:2" x14ac:dyDescent="0.25">
      <c r="A11" s="1" t="s">
        <v>116</v>
      </c>
      <c r="B11" s="1" t="s">
        <v>114</v>
      </c>
    </row>
    <row r="12" spans="1:2" x14ac:dyDescent="0.25">
      <c r="A12" s="2" t="s">
        <v>117</v>
      </c>
      <c r="B12" s="2" t="s">
        <v>115</v>
      </c>
    </row>
    <row r="15" spans="1:2" x14ac:dyDescent="0.25">
      <c r="A15" t="s">
        <v>55</v>
      </c>
    </row>
    <row r="16" spans="1:2" x14ac:dyDescent="0.25">
      <c r="A16" t="s">
        <v>59</v>
      </c>
    </row>
    <row r="17" spans="1:1" x14ac:dyDescent="0.25">
      <c r="A17" t="s">
        <v>54</v>
      </c>
    </row>
  </sheetData>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5</vt:i4>
      </vt:variant>
      <vt:variant>
        <vt:lpstr>Benannte Bereiche</vt:lpstr>
      </vt:variant>
      <vt:variant>
        <vt:i4>44</vt:i4>
      </vt:variant>
    </vt:vector>
  </HeadingPairs>
  <TitlesOfParts>
    <vt:vector size="49" baseType="lpstr">
      <vt:lpstr>Introduction</vt:lpstr>
      <vt:lpstr>Hypothèses</vt:lpstr>
      <vt:lpstr>Calculs</vt:lpstr>
      <vt:lpstr>Annex machines &amp; travail</vt:lpstr>
      <vt:lpstr>Q</vt:lpstr>
      <vt:lpstr>BesitzMieteDritte</vt:lpstr>
      <vt:lpstr>'Annex machines &amp; travail'!colAkhEM</vt:lpstr>
      <vt:lpstr>'Annex machines &amp; travail'!colAkhL</vt:lpstr>
      <vt:lpstr>'Annex machines &amp; travail'!colArbeitsart</vt:lpstr>
      <vt:lpstr>'Annex machines &amp; travail'!colD1</vt:lpstr>
      <vt:lpstr>'Annex machines &amp; travail'!colEinheitD</vt:lpstr>
      <vt:lpstr>'Annex machines &amp; travail'!colEinheitF</vt:lpstr>
      <vt:lpstr>'Annex machines &amp; travail'!colF1</vt:lpstr>
      <vt:lpstr>'Annex machines &amp; travail'!colKostenL</vt:lpstr>
      <vt:lpstr>'Annex machines &amp; travail'!colKostenM</vt:lpstr>
      <vt:lpstr>'Annex machines &amp; travail'!colNameD</vt:lpstr>
      <vt:lpstr>'Annex machines &amp; travail'!colNameF</vt:lpstr>
      <vt:lpstr>'Annex machines &amp; travail'!colNummer</vt:lpstr>
      <vt:lpstr>'Annex machines &amp; travail'!colThEM</vt:lpstr>
      <vt:lpstr>'Annex machines &amp; travail'!colThL</vt:lpstr>
      <vt:lpstr>'Annex machines &amp; travail'!colVariableKostenGeräteE</vt:lpstr>
      <vt:lpstr>'Annex machines &amp; travail'!colVariableKostenZugkraftEM</vt:lpstr>
      <vt:lpstr>'Annex machines &amp; travail'!colVariableKostenZugkraftL</vt:lpstr>
      <vt:lpstr>'Annex machines &amp; travail'!Druckbereich</vt:lpstr>
      <vt:lpstr>Calculs!Druckbereich</vt:lpstr>
      <vt:lpstr>Hypothèses!Druckbereich</vt:lpstr>
      <vt:lpstr>'Annex machines &amp; travail'!Drucktitel</vt:lpstr>
      <vt:lpstr>entretien_fumure</vt:lpstr>
      <vt:lpstr>GPS</vt:lpstr>
      <vt:lpstr>main_doeuvre</vt:lpstr>
      <vt:lpstr>récolte</vt:lpstr>
      <vt:lpstr>'Annex machines &amp; travail'!rngErklärungenF</vt:lpstr>
      <vt:lpstr>'Annex machines &amp; travail'!rngTitelD</vt:lpstr>
      <vt:lpstr>'Annex machines &amp; travail'!rngTitelF</vt:lpstr>
      <vt:lpstr>'Annex machines &amp; travail'!rowD1</vt:lpstr>
      <vt:lpstr>'Annex machines &amp; travail'!rowF1</vt:lpstr>
      <vt:lpstr>'Annex machines &amp; travail'!rowF2</vt:lpstr>
      <vt:lpstr>sarcleuse</vt:lpstr>
      <vt:lpstr>semi</vt:lpstr>
      <vt:lpstr>sol_et_semi</vt:lpstr>
      <vt:lpstr>supplement_GPS</vt:lpstr>
      <vt:lpstr>supplément_GPS</vt:lpstr>
      <vt:lpstr>Traktor</vt:lpstr>
      <vt:lpstr>'Annex machines &amp; travail'!travaux_100</vt:lpstr>
      <vt:lpstr>'Annex machines &amp; travail'!travaux_200</vt:lpstr>
      <vt:lpstr>'Annex machines &amp; travail'!travaux_300</vt:lpstr>
      <vt:lpstr>'Annex machines &amp; travail'!travaux_400</vt:lpstr>
      <vt:lpstr>'Annex machines &amp; travail'!travaux_700</vt:lpstr>
      <vt:lpstr>'Annex machines &amp; travail'!travaux_800</vt:lpstr>
    </vt:vector>
  </TitlesOfParts>
  <Company>AGRIDEA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Gascard Benoît-Denis</dc:creator>
  <cp:lastModifiedBy>Albisser Gregor</cp:lastModifiedBy>
  <cp:lastPrinted>2019-03-20T13:28:16Z</cp:lastPrinted>
  <dcterms:created xsi:type="dcterms:W3CDTF">2018-04-03T12:00:08Z</dcterms:created>
  <dcterms:modified xsi:type="dcterms:W3CDTF">2019-03-25T15:50:33Z</dcterms:modified>
</cp:coreProperties>
</file>