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8" yWindow="60" windowWidth="19032" windowHeight="7632" tabRatio="693" activeTab="0"/>
  </bookViews>
  <sheets>
    <sheet name="Convention d'utilisation" sheetId="1" r:id="rId1"/>
    <sheet name="Coûts" sheetId="2" r:id="rId2"/>
    <sheet name="Réalisation" sheetId="3" r:id="rId3"/>
    <sheet name="Phase de développement" sheetId="4" r:id="rId4"/>
    <sheet name="Valeur après développement" sheetId="5" r:id="rId5"/>
    <sheet name="Phase de rendement" sheetId="6" r:id="rId6"/>
    <sheet name="modDBKAT01" sheetId="7" state="hidden" r:id="rId7"/>
  </sheets>
  <definedNames>
    <definedName name="Basisbeitrag_31a">#REF!</definedName>
    <definedName name="Beschreibung">#REF!</definedName>
    <definedName name="Bodenanalyse_Gemüse">#REF!</definedName>
    <definedName name="Bodenanalyse_Obst">#REF!</definedName>
    <definedName name="colD1_5">#REF!</definedName>
    <definedName name="colD1_6">#REF!</definedName>
    <definedName name="colF1_5">#REF!</definedName>
    <definedName name="colF1_6">#REF!</definedName>
    <definedName name="colUA1_5">#REF!</definedName>
    <definedName name="colUA1_6">#REF!</definedName>
    <definedName name="_xlnm.Print_Area" localSheetId="0">'Convention d''utilisation'!$A$1:$B$31</definedName>
    <definedName name="_xlnm.Print_Area" localSheetId="3">'Phase de développement'!$A$1:$G$51</definedName>
    <definedName name="_xlnm.Print_Area" localSheetId="5">'Phase de rendement'!$A$1:$F$60</definedName>
    <definedName name="_xlnm.Print_Area" localSheetId="2">'Réalisation'!$A$1:$E$40</definedName>
    <definedName name="_xlnm.Print_Area" localSheetId="4">'Valeur après développement'!$A$1:$F$36</definedName>
    <definedName name="Früchtek_250">#REF!</definedName>
    <definedName name="Früchtek_500">#REF!</definedName>
    <definedName name="Früchtekörbchen_1kg">#REF!</definedName>
    <definedName name="Gebindegrösse_G1">NA()</definedName>
    <definedName name="Gebindegrösse_G1_30">NA()</definedName>
    <definedName name="Harasse">#REF!</definedName>
    <definedName name="Kader">#REF!</definedName>
    <definedName name="Kleinmaterial">#REF!</definedName>
    <definedName name="Kontrollbeiträge_Obst_Bio">#REF!</definedName>
    <definedName name="Kontrollbeiträge_Obst_IP">#REF!</definedName>
    <definedName name="Kontrollbeiträge_Reben_Bio">#REF!</definedName>
    <definedName name="Palette">#REF!</definedName>
    <definedName name="Propagandastreifen_IP">#REF!</definedName>
    <definedName name="Spezialkulturen_31b_Bio">#REF!</definedName>
    <definedName name="Spezialkulturen_31b_IP">#REF!</definedName>
    <definedName name="Verbandsbeitrag_Bio">#REF!</definedName>
    <definedName name="Zinsanspruch">#REF!</definedName>
  </definedNames>
  <calcPr fullCalcOnLoad="1"/>
</workbook>
</file>

<file path=xl/sharedStrings.xml><?xml version="1.0" encoding="utf-8"?>
<sst xmlns="http://schemas.openxmlformats.org/spreadsheetml/2006/main" count="328" uniqueCount="184">
  <si>
    <t>Akh total</t>
  </si>
  <si>
    <t>davon Verlustzeiten</t>
  </si>
  <si>
    <t>Tonne</t>
  </si>
  <si>
    <t>t</t>
  </si>
  <si>
    <t>h</t>
  </si>
  <si>
    <t>kg</t>
  </si>
  <si>
    <t>Analyse</t>
  </si>
  <si>
    <t>Fr./ha</t>
  </si>
  <si>
    <t>kg/ha</t>
  </si>
  <si>
    <t>pro 100 kg</t>
  </si>
  <si>
    <t xml:space="preserve">  </t>
  </si>
  <si>
    <t xml:space="preserve">Total </t>
  </si>
  <si>
    <t>andi.haesel@fibl.org</t>
  </si>
  <si>
    <t>Andi Häseli</t>
  </si>
  <si>
    <t>Calculs modélisés</t>
  </si>
  <si>
    <t>Pour la fiche technique «Arboriculture fruitière biologique haute-tige»</t>
  </si>
  <si>
    <t>Convention d’utilisation et mode d’emploi</t>
  </si>
  <si>
    <r>
      <t xml:space="preserve">Ce modèle de calcul fait partie de l’édition 2016 de la </t>
    </r>
    <r>
      <rPr>
        <sz val="12"/>
        <rFont val="Arial"/>
        <family val="2"/>
      </rPr>
      <t>fiche technique «Arboriculture fruitière biologique haute-tige» de l’Institut de recherche de l'agriculture biologique (FiBL) à Frick. Il se base sur les travaux suivants:</t>
    </r>
    <r>
      <rPr>
        <sz val="12"/>
        <color indexed="8"/>
        <rFont val="Arial"/>
        <family val="2"/>
      </rPr>
      <t xml:space="preserve"> FiBL Frick (O. Schmid, A. Häseli, 1996), Travail de diplôme Hitz/Locher HWV Aargau 1996, Kant. Fachstelle Obst ZH, Klaus Gersbach/Hans Brunner 2006, Hans Brunner 2012 et 2016 et a été continuellement révisé et complété. Il est mis à disposition des utilisateurs intéressés en tant que prestation soumise aux conditions de la convention d’utilisation ci-après que l’utilisateur déclare expressément accepter dès le moment où il procède au téléchargement et à l’utilisation du modèle de calcul.</t>
    </r>
  </si>
  <si>
    <t>Cette convention d’utilisation définit les droits respectifs du FiBL et de l’utilisateur. Le FiBL de Frick accorde à l’utilisateur un droit d’utilisation simple, illimité dans le temps et non transmissible pour installer et utiliser le modèle de calcul sur son ordinateur.</t>
  </si>
  <si>
    <t>La copie ou tout autre type de reproduction ainsi que la transmission et la mise à disposition (aussi d’une version modifiée) du modèle de calcul à des tiers sont autorisées aux conditions suivantes:</t>
  </si>
  <si>
    <r>
      <t xml:space="preserve">· </t>
    </r>
    <r>
      <rPr>
        <sz val="12"/>
        <color indexed="8"/>
        <rFont val="Arial"/>
        <family val="2"/>
      </rPr>
      <t>La transmission au destinataire n’est permise qu’avec la mention du copyright.</t>
    </r>
  </si>
  <si>
    <r>
      <t>·</t>
    </r>
    <r>
      <rPr>
        <sz val="12"/>
        <color indexed="8"/>
        <rFont val="Times New Roman"/>
        <family val="1"/>
      </rPr>
      <t xml:space="preserve"> </t>
    </r>
    <r>
      <rPr>
        <sz val="12"/>
        <color indexed="8"/>
        <rFont val="Arial"/>
        <family val="2"/>
      </rPr>
      <t>Les données du copyright ne doivent pas être effacées.</t>
    </r>
  </si>
  <si>
    <t xml:space="preserve">Le FiBL de Frick se réserve en tout temps le droit de modifier, de continuer de développer, d’améliorer ou de remplacer par une nouvelle version le modèle de calcul ainsi que les informations pour les utilisateurs. </t>
  </si>
  <si>
    <t>Enregistrez le modèle de calcul du FiBL comme version personnelle.</t>
  </si>
  <si>
    <t>Dans la feuille «Coûts», adaptez les chiffres avec les prix valables pour votre propre domaine agricole.</t>
  </si>
  <si>
    <r>
      <t xml:space="preserve">Vous pouvez maintenant introduire les </t>
    </r>
    <r>
      <rPr>
        <sz val="12"/>
        <color indexed="8"/>
        <rFont val="Arial"/>
        <family val="2"/>
      </rPr>
      <t>données personnelles spécifiques pour votre domaine agricole</t>
    </r>
    <r>
      <rPr>
        <sz val="12"/>
        <rFont val="Arial"/>
        <family val="2"/>
      </rPr>
      <t xml:space="preserve"> dans les feuilles «Réalisation», «Phase de développement» et «Valeur du verger après la phase de développement».</t>
    </r>
  </si>
  <si>
    <t>Le programme calcule toujours les résultats globaux.</t>
  </si>
  <si>
    <t>Vos propositions d’améliorations nous intéressent!</t>
  </si>
  <si>
    <t>Si vous découvrez des possibilités d’améliorations ou des erreurs pendant que vous travaillez avec ce fichier Excel, nous vous prions de les communiquer à:</t>
  </si>
  <si>
    <t>Service de conseils du FiBL</t>
  </si>
  <si>
    <t>Tél. 062 865 72 64</t>
  </si>
  <si>
    <t>Variante mécanisée, contributions OPD / arbre, poires à cidres, Bio Bourgeon</t>
  </si>
  <si>
    <t>Unité</t>
  </si>
  <si>
    <t>Pièce</t>
  </si>
  <si>
    <t>Kilogramme</t>
  </si>
  <si>
    <t>Forfait</t>
  </si>
  <si>
    <t>Heure fonctionnement</t>
  </si>
  <si>
    <t>Plants</t>
  </si>
  <si>
    <t>Fertilisation</t>
  </si>
  <si>
    <t>Protection phytosanitaire</t>
  </si>
  <si>
    <t>Divers</t>
  </si>
  <si>
    <t>Machines et outils</t>
  </si>
  <si>
    <t>Traction</t>
  </si>
  <si>
    <t>Petits outils</t>
  </si>
  <si>
    <t>Location surface</t>
  </si>
  <si>
    <t>Travail</t>
  </si>
  <si>
    <t>Semis prairie permanente</t>
  </si>
  <si>
    <t>Attaches</t>
  </si>
  <si>
    <t>Compost</t>
  </si>
  <si>
    <t>Fongicides</t>
  </si>
  <si>
    <t>Insecticides</t>
  </si>
  <si>
    <t>Pièges à rongeurs</t>
  </si>
  <si>
    <t>Analyse de terre</t>
  </si>
  <si>
    <t>Matériaux pour éléments structurels</t>
  </si>
  <si>
    <t>Divers (organisations etc.)</t>
  </si>
  <si>
    <t>Frais généraux (phase développement)</t>
  </si>
  <si>
    <t>Frais contrôle et label Bio Suisse</t>
  </si>
  <si>
    <t>Taxe FUS pour les fruits à cidre</t>
  </si>
  <si>
    <t>Herse rotative</t>
  </si>
  <si>
    <t>Remorque basculante</t>
  </si>
  <si>
    <r>
      <t xml:space="preserve">Tarière </t>
    </r>
    <r>
      <rPr>
        <sz val="10"/>
        <rFont val="Calibri"/>
        <family val="2"/>
      </rPr>
      <t xml:space="preserve">Ø </t>
    </r>
    <r>
      <rPr>
        <sz val="10"/>
        <rFont val="Arial"/>
        <family val="2"/>
      </rPr>
      <t>80 cm</t>
    </r>
  </si>
  <si>
    <t>Machine à trier les fruits à cidre</t>
  </si>
  <si>
    <t>Atomiseur</t>
  </si>
  <si>
    <t>Rateau à déchets de taille</t>
  </si>
  <si>
    <t>Petite broyeuse</t>
  </si>
  <si>
    <t>Secoueur d'arbres</t>
  </si>
  <si>
    <t>Récolteuse automotrice</t>
  </si>
  <si>
    <t>Tracteur 2 roues motrices, 50 CV</t>
  </si>
  <si>
    <t>Phase de réalisation</t>
  </si>
  <si>
    <t>Chef d'exploitation</t>
  </si>
  <si>
    <t>Fr./hectare</t>
  </si>
  <si>
    <t>kg/arb</t>
  </si>
  <si>
    <r>
      <t xml:space="preserve">Les </t>
    </r>
    <r>
      <rPr>
        <b/>
        <sz val="10"/>
        <color indexed="53"/>
        <rFont val="Arial"/>
        <family val="2"/>
      </rPr>
      <t>cellules de couleur orange</t>
    </r>
    <r>
      <rPr>
        <sz val="10"/>
        <rFont val="Arial"/>
        <family val="2"/>
      </rPr>
      <t xml:space="preserve"> peuvent être remplacées par les données spécifiques de la ferme.</t>
    </r>
  </si>
  <si>
    <t>Contribution OPD de base (sans les animaux)</t>
  </si>
  <si>
    <t>Contribution Bio</t>
  </si>
  <si>
    <t>Rendement en fruits</t>
  </si>
  <si>
    <t>Moyenne</t>
  </si>
  <si>
    <t>Plein rendement</t>
  </si>
  <si>
    <t>Années</t>
  </si>
  <si>
    <t>Rendement</t>
  </si>
  <si>
    <t>pce</t>
  </si>
  <si>
    <t>anl.</t>
  </si>
  <si>
    <t>Heure</t>
  </si>
  <si>
    <t>Quantité</t>
  </si>
  <si>
    <t>Prix Fr.</t>
  </si>
  <si>
    <t>Matériel pour les arbres</t>
  </si>
  <si>
    <t>Arbres haute-tige bio</t>
  </si>
  <si>
    <t>Tuteurs en acacia, 1 par arbre</t>
  </si>
  <si>
    <t>Gaine de protection du tronc</t>
  </si>
  <si>
    <t>Matériau pour atteindre OPD Q2</t>
  </si>
  <si>
    <t>Pièges à rongeurs Topcat</t>
  </si>
  <si>
    <t>Total des coûts spécifiques</t>
  </si>
  <si>
    <t>Tarière</t>
  </si>
  <si>
    <t>Total machines et traction</t>
  </si>
  <si>
    <t>Travaux</t>
  </si>
  <si>
    <t>Planification</t>
  </si>
  <si>
    <t>Mensurations</t>
  </si>
  <si>
    <t>Plantation des tuteurs</t>
  </si>
  <si>
    <t>Plantation des arbres</t>
  </si>
  <si>
    <t>Réalisation des éléments structurels OPD</t>
  </si>
  <si>
    <t>Total salaire propre en fonction des heures de travail</t>
  </si>
  <si>
    <t>Total des frais de réalisation</t>
  </si>
  <si>
    <t>Formation continue (groupe de travail hautes-tiges bio etc.)</t>
  </si>
  <si>
    <t>Frais généraux</t>
  </si>
  <si>
    <t>Analyse de terre (tous les dix ans)</t>
  </si>
  <si>
    <r>
      <t xml:space="preserve">P </t>
    </r>
    <r>
      <rPr>
        <vertAlign val="superscript"/>
        <sz val="10"/>
        <rFont val="Arial"/>
        <family val="2"/>
      </rPr>
      <t>1</t>
    </r>
  </si>
  <si>
    <r>
      <t>Prix Fr.</t>
    </r>
    <r>
      <rPr>
        <vertAlign val="superscript"/>
        <sz val="10"/>
        <rFont val="Arial"/>
        <family val="2"/>
      </rPr>
      <t>2</t>
    </r>
  </si>
  <si>
    <r>
      <rPr>
        <vertAlign val="superscript"/>
        <sz val="10"/>
        <rFont val="Arial"/>
        <family val="2"/>
      </rPr>
      <t xml:space="preserve">1 </t>
    </r>
    <r>
      <rPr>
        <sz val="10"/>
        <rFont val="Arial"/>
        <family val="2"/>
      </rPr>
      <t>P = Passages</t>
    </r>
  </si>
  <si>
    <t>Râteau à déchets de taille</t>
  </si>
  <si>
    <t>Ech. hydr. (avec part sécateur / tronçonneuse)</t>
  </si>
  <si>
    <t>Mulchage le long des lignes d'arbres</t>
  </si>
  <si>
    <t>Entretien des éléments structurels</t>
  </si>
  <si>
    <t>Contrôle des ravageurs et du feu bactérien</t>
  </si>
  <si>
    <t>Bureau, organisation</t>
  </si>
  <si>
    <t>Total développement de la valeur du verger / année</t>
  </si>
  <si>
    <r>
      <rPr>
        <vertAlign val="superscript"/>
        <sz val="10"/>
        <rFont val="Arial"/>
        <family val="2"/>
      </rPr>
      <t>2</t>
    </r>
    <r>
      <rPr>
        <sz val="10"/>
        <rFont val="Arial"/>
        <family val="2"/>
      </rPr>
      <t xml:space="preserve"> Les prix peuvent être introduits ou modifiés dans la feuille "Coûts".</t>
    </r>
  </si>
  <si>
    <r>
      <rPr>
        <vertAlign val="superscript"/>
        <sz val="10"/>
        <rFont val="Arial"/>
        <family val="2"/>
      </rPr>
      <t xml:space="preserve">3 </t>
    </r>
    <r>
      <rPr>
        <sz val="10"/>
        <rFont val="Arial"/>
        <family val="2"/>
      </rPr>
      <t>Augmentation de l'efficience par l'utilisation d'une échelle hydraulique =&gt; Facteur 3</t>
    </r>
  </si>
  <si>
    <t>Machines</t>
  </si>
  <si>
    <t>Année</t>
  </si>
  <si>
    <t>Coûts de la phase de développement</t>
  </si>
  <si>
    <t>Produit vente des fruits</t>
  </si>
  <si>
    <t>Déduction taxe FUS</t>
  </si>
  <si>
    <t>Strate inférieure (fourrage: décompte indépendant)</t>
  </si>
  <si>
    <t>Contributions OPD / arbre</t>
  </si>
  <si>
    <t>Recettes pendant la phase de développement</t>
  </si>
  <si>
    <t>Qualité I (Fr. 15.50)</t>
  </si>
  <si>
    <t>Qualité II (Fr. 31.50)</t>
  </si>
  <si>
    <r>
      <t>Vergers (&gt;</t>
    </r>
    <r>
      <rPr>
        <sz val="10"/>
        <rFont val="Arial"/>
        <family val="2"/>
      </rPr>
      <t xml:space="preserve"> 150 arb/ha)</t>
    </r>
    <r>
      <rPr>
        <vertAlign val="superscript"/>
        <sz val="10"/>
        <rFont val="Arial"/>
        <family val="2"/>
      </rPr>
      <t xml:space="preserve"> 1</t>
    </r>
  </si>
  <si>
    <t>Mise en réseau</t>
  </si>
  <si>
    <t>Qualité</t>
  </si>
  <si>
    <r>
      <rPr>
        <vertAlign val="superscript"/>
        <sz val="10"/>
        <rFont val="Arial"/>
        <family val="2"/>
      </rPr>
      <t>1</t>
    </r>
    <r>
      <rPr>
        <sz val="10"/>
        <rFont val="Arial"/>
        <family val="2"/>
      </rPr>
      <t xml:space="preserve"> Contributions OPD / arbre : contr. de Fr. 10.- au ct. ZH (vergers &gt; 150 arb/ha) pour plus de 150 arbres</t>
    </r>
  </si>
  <si>
    <t>Produit brut total</t>
  </si>
  <si>
    <t xml:space="preserve">Frais de contrôle et de label de Bio Suisse </t>
  </si>
  <si>
    <t xml:space="preserve">MB (produit brut moins frais spécifiques, machines, location de la surface, </t>
  </si>
  <si>
    <t>coût du label, taxes FUS) sans contributions</t>
  </si>
  <si>
    <t>Contribution OPD / arbre</t>
  </si>
  <si>
    <t>Contribution bio</t>
  </si>
  <si>
    <t>MB (y.c. contributions)</t>
  </si>
  <si>
    <r>
      <t xml:space="preserve">Taille d'hiver </t>
    </r>
    <r>
      <rPr>
        <vertAlign val="superscript"/>
        <sz val="10"/>
        <rFont val="Arial"/>
        <family val="2"/>
      </rPr>
      <t>3</t>
    </r>
  </si>
  <si>
    <t>Pertes de temps</t>
  </si>
  <si>
    <t>Revenu du travail MB y.c. contributions / MOh</t>
  </si>
  <si>
    <r>
      <rPr>
        <vertAlign val="superscript"/>
        <sz val="10"/>
        <rFont val="Arial"/>
        <family val="2"/>
      </rPr>
      <t xml:space="preserve">1 2 3 4 5 6 </t>
    </r>
    <r>
      <rPr>
        <sz val="10"/>
        <rFont val="Arial"/>
        <family val="2"/>
      </rPr>
      <t>Légende: Voir feuille "Phase de développement"</t>
    </r>
  </si>
  <si>
    <t>Épandeuse à compost</t>
  </si>
  <si>
    <t>Échelle hydraulique</t>
  </si>
  <si>
    <t>Coûts et rendement par unité</t>
  </si>
  <si>
    <t xml:space="preserve">Tuteurs 2.5 m, acacia 6-8 cm </t>
  </si>
  <si>
    <t xml:space="preserve"> </t>
  </si>
  <si>
    <t>/100 kg</t>
  </si>
  <si>
    <t>Semoir 3 m</t>
  </si>
  <si>
    <t>Total des charges de structure</t>
  </si>
  <si>
    <t>Prix Fr.2</t>
  </si>
  <si>
    <t>Total des charges de structure (machines, traction, location surface, salaire propre)</t>
  </si>
  <si>
    <r>
      <rPr>
        <vertAlign val="superscript"/>
        <sz val="10"/>
        <rFont val="Arial"/>
        <family val="2"/>
      </rPr>
      <t xml:space="preserve">4 </t>
    </r>
    <r>
      <rPr>
        <sz val="10"/>
        <rFont val="Arial"/>
        <family val="2"/>
      </rPr>
      <t>Augmentation de l'efficience par l'utilisation d'un râteau à déchets de taille =&gt; Facteur 3</t>
    </r>
  </si>
  <si>
    <r>
      <rPr>
        <vertAlign val="superscript"/>
        <sz val="10"/>
        <rFont val="Arial"/>
        <family val="2"/>
      </rPr>
      <t xml:space="preserve">5 </t>
    </r>
    <r>
      <rPr>
        <sz val="10"/>
        <rFont val="Arial"/>
        <family val="2"/>
      </rPr>
      <t>Augmentation de l'efficience par l'utilisation d'un râteau à déchets de taille =&gt; Facteur 10</t>
    </r>
  </si>
  <si>
    <r>
      <rPr>
        <vertAlign val="superscript"/>
        <sz val="10"/>
        <rFont val="Arial"/>
        <family val="2"/>
      </rPr>
      <t xml:space="preserve">6 </t>
    </r>
    <r>
      <rPr>
        <sz val="10"/>
        <rFont val="Arial"/>
        <family val="2"/>
      </rPr>
      <t>Augmentation de l'efficience par l'utilisation d'un râteau à déchets de taille =&gt; Facteur 7</t>
    </r>
  </si>
  <si>
    <t>Phase de rendement</t>
  </si>
  <si>
    <t>Amortissement de la valeur du vergers, années</t>
  </si>
  <si>
    <t>Intérêts des investissements pour la valeur du verger</t>
  </si>
  <si>
    <t>Contribution de base</t>
  </si>
  <si>
    <t>10 % des travaux à effectuer</t>
  </si>
  <si>
    <r>
      <t xml:space="preserve">Sur toutes les feuilles du classeur Excel, vous pouvez remplacer les données des </t>
    </r>
    <r>
      <rPr>
        <b/>
        <sz val="12"/>
        <color indexed="53"/>
        <rFont val="Arial"/>
        <family val="2"/>
      </rPr>
      <t>cellules de couleur orange</t>
    </r>
    <r>
      <rPr>
        <sz val="12"/>
        <color indexed="8"/>
        <rFont val="Arial"/>
        <family val="2"/>
      </rPr>
      <t xml:space="preserve"> par des données personnelles spécifiques pour votre domaine agricole.</t>
    </r>
  </si>
  <si>
    <t>tot</t>
  </si>
  <si>
    <t>Par trou de plantation</t>
  </si>
  <si>
    <t>Hectare</t>
  </si>
  <si>
    <t>Kilogrammes/arbre</t>
  </si>
  <si>
    <t>Kilogrammes/hectare</t>
  </si>
  <si>
    <t>Francs/hectare</t>
  </si>
  <si>
    <t>Prix fruits Bio Bourgeon et Hautes-Tiges Suisse</t>
  </si>
  <si>
    <t>1ère-2ème année de plantation</t>
  </si>
  <si>
    <t>3ème-5ème année de plantation</t>
  </si>
  <si>
    <t>6ème-10ème année de plantation</t>
  </si>
  <si>
    <t>11ème-15ème année de plantation</t>
  </si>
  <si>
    <t>Divers (organisation etc.)</t>
  </si>
  <si>
    <t>Phase de développement, 1ère - 15ème année, coûts annuels</t>
  </si>
  <si>
    <r>
      <t xml:space="preserve">Taille de formation, conduite (été + hiver) </t>
    </r>
    <r>
      <rPr>
        <vertAlign val="superscript"/>
        <sz val="10"/>
        <rFont val="Arial"/>
        <family val="2"/>
      </rPr>
      <t>3</t>
    </r>
  </si>
  <si>
    <r>
      <t xml:space="preserve">Déchets de taille sur tas de branches (méc. / man.) </t>
    </r>
    <r>
      <rPr>
        <vertAlign val="superscript"/>
        <sz val="10"/>
        <rFont val="Arial"/>
        <family val="2"/>
      </rPr>
      <t>4</t>
    </r>
  </si>
  <si>
    <r>
      <t xml:space="preserve">Secouer les arbres (méc. / man) </t>
    </r>
    <r>
      <rPr>
        <vertAlign val="superscript"/>
        <sz val="10"/>
        <rFont val="Arial"/>
        <family val="2"/>
      </rPr>
      <t>5</t>
    </r>
  </si>
  <si>
    <r>
      <t xml:space="preserve">Trier les fruits (à la main ou avec machine à trier </t>
    </r>
    <r>
      <rPr>
        <vertAlign val="superscript"/>
        <sz val="10"/>
        <rFont val="Arial"/>
        <family val="2"/>
      </rPr>
      <t>6</t>
    </r>
  </si>
  <si>
    <t>Paiements directs: Contribution bio</t>
  </si>
  <si>
    <t xml:space="preserve">Valeur du verger après 15 ans avec un bénéfice / une perte de:            </t>
  </si>
  <si>
    <t>Produit brut de la vente des fruits à cidre</t>
  </si>
  <si>
    <t>Marge brute (MB) comparable (produit brut moins coûts spécifiques)</t>
  </si>
  <si>
    <t>Utilisez ce modèle de calcul comme instrument de travail vous permettant de développer votre propre version pour votre domaine agricole!</t>
  </si>
  <si>
    <t>Mode d’emploi la variante spécifique à votre domaine agricole</t>
  </si>
</sst>
</file>

<file path=xl/styles.xml><?xml version="1.0" encoding="utf-8"?>
<styleSheet xmlns="http://schemas.openxmlformats.org/spreadsheetml/2006/main">
  <numFmts count="3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quot; x&quot;"/>
    <numFmt numFmtId="180" formatCode="#,##0.0"/>
    <numFmt numFmtId="181" formatCode="&quot;SFr.&quot;\ #,##0.00"/>
    <numFmt numFmtId="182" formatCode="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Ja&quot;;&quot;Ja&quot;;&quot;Nein&quot;"/>
    <numFmt numFmtId="189" formatCode="&quot;Wahr&quot;;&quot;Wahr&quot;;&quot;Falsch&quot;"/>
    <numFmt numFmtId="190" formatCode="&quot;Ein&quot;;&quot;Ein&quot;;&quot;Aus&quot;"/>
    <numFmt numFmtId="191" formatCode="#,##0.0000"/>
    <numFmt numFmtId="192" formatCode="&quot;Vrai&quot;;&quot;Vrai&quot;;&quot;Faux&quot;"/>
    <numFmt numFmtId="193" formatCode="&quot;Actif&quot;;&quot;Actif&quot;;&quot;Inactif&quot;"/>
  </numFmts>
  <fonts count="62">
    <font>
      <sz val="10"/>
      <name val="Arial"/>
      <family val="2"/>
    </font>
    <font>
      <sz val="9"/>
      <name val="Arial"/>
      <family val="2"/>
    </font>
    <font>
      <sz val="14"/>
      <name val="Arial"/>
      <family val="0"/>
    </font>
    <font>
      <b/>
      <sz val="10"/>
      <name val="Arial"/>
      <family val="2"/>
    </font>
    <font>
      <b/>
      <i/>
      <sz val="10"/>
      <name val="Arial"/>
      <family val="2"/>
    </font>
    <font>
      <sz val="10"/>
      <color indexed="53"/>
      <name val="Arial"/>
      <family val="2"/>
    </font>
    <font>
      <sz val="8"/>
      <name val="Arial"/>
      <family val="2"/>
    </font>
    <font>
      <sz val="10"/>
      <color indexed="8"/>
      <name val="Arial"/>
      <family val="2"/>
    </font>
    <font>
      <u val="single"/>
      <sz val="10"/>
      <color indexed="12"/>
      <name val="Arial"/>
      <family val="2"/>
    </font>
    <font>
      <u val="single"/>
      <sz val="10"/>
      <color indexed="20"/>
      <name val="Arial"/>
      <family val="2"/>
    </font>
    <font>
      <i/>
      <sz val="10"/>
      <name val="Arial"/>
      <family val="2"/>
    </font>
    <font>
      <sz val="12"/>
      <name val="Arial"/>
      <family val="2"/>
    </font>
    <font>
      <sz val="10"/>
      <name val="Calibri"/>
      <family val="2"/>
    </font>
    <font>
      <vertAlign val="superscript"/>
      <sz val="10"/>
      <name val="Arial"/>
      <family val="2"/>
    </font>
    <font>
      <b/>
      <sz val="26"/>
      <name val="Arial"/>
      <family val="2"/>
    </font>
    <font>
      <b/>
      <sz val="14"/>
      <name val="Arial"/>
      <family val="2"/>
    </font>
    <font>
      <sz val="11"/>
      <name val="Calibri"/>
      <family val="2"/>
    </font>
    <font>
      <sz val="12"/>
      <color indexed="8"/>
      <name val="Arial"/>
      <family val="2"/>
    </font>
    <font>
      <sz val="12"/>
      <color indexed="8"/>
      <name val="Times New Roman"/>
      <family val="1"/>
    </font>
    <font>
      <b/>
      <sz val="10"/>
      <color indexed="53"/>
      <name val="Arial"/>
      <family val="2"/>
    </font>
    <font>
      <b/>
      <sz val="12"/>
      <color indexed="5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sz val="12"/>
      <color indexed="8"/>
      <name val="Symbol"/>
      <family val="1"/>
    </font>
    <font>
      <b/>
      <sz val="14"/>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000000"/>
      <name val="Arial"/>
      <family val="2"/>
    </font>
    <font>
      <b/>
      <sz val="12"/>
      <color rgb="FF000000"/>
      <name val="Arial"/>
      <family val="2"/>
    </font>
    <font>
      <b/>
      <sz val="14"/>
      <color rgb="FF000000"/>
      <name val="Arial"/>
      <family val="2"/>
    </font>
    <font>
      <sz val="12"/>
      <color rgb="FF000000"/>
      <name val="Symbol"/>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9966"/>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
      <patternFill patternType="solid">
        <fgColor rgb="FFFFFFFF"/>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color indexed="63"/>
      </bottom>
    </border>
    <border>
      <left style="medium">
        <color indexed="9"/>
      </left>
      <right style="medium">
        <color indexed="9"/>
      </right>
      <top>
        <color indexed="63"/>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color indexed="63"/>
      </bottom>
    </border>
    <border>
      <left>
        <color indexed="63"/>
      </left>
      <right>
        <color indexed="63"/>
      </right>
      <top>
        <color indexed="63"/>
      </top>
      <bottom style="medium">
        <color theme="0"/>
      </bottom>
    </border>
    <border>
      <left>
        <color indexed="63"/>
      </left>
      <right>
        <color indexed="63"/>
      </right>
      <top style="medium">
        <color theme="0"/>
      </top>
      <bottom style="medium">
        <color theme="0"/>
      </bottom>
    </border>
    <border>
      <left>
        <color indexed="63"/>
      </left>
      <right>
        <color indexed="63"/>
      </right>
      <top style="medium">
        <color theme="0"/>
      </top>
      <bottom>
        <color indexed="63"/>
      </bottom>
    </border>
    <border>
      <left style="medium">
        <color indexed="9"/>
      </left>
      <right style="medium">
        <color indexed="9"/>
      </right>
      <top>
        <color indexed="63"/>
      </top>
      <bottom>
        <color indexed="63"/>
      </bottom>
    </border>
    <border>
      <left>
        <color indexed="63"/>
      </left>
      <right style="medium">
        <color theme="0"/>
      </right>
      <top>
        <color indexed="63"/>
      </top>
      <bottom style="medium">
        <color theme="0"/>
      </bottom>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color indexed="63"/>
      </bottom>
    </border>
    <border>
      <left style="medium">
        <color theme="0"/>
      </left>
      <right>
        <color indexed="63"/>
      </right>
      <top style="medium">
        <color theme="0"/>
      </top>
      <bottom>
        <color indexed="63"/>
      </bottom>
    </border>
    <border>
      <left style="medium">
        <color theme="0"/>
      </left>
      <right>
        <color indexed="63"/>
      </right>
      <top>
        <color indexed="63"/>
      </top>
      <bottom style="medium">
        <color theme="0"/>
      </bottom>
    </border>
    <border>
      <left>
        <color indexed="63"/>
      </left>
      <right style="medium">
        <color indexed="9"/>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9" fillId="0" borderId="0" applyNumberFormat="0" applyFill="0" applyBorder="0" applyAlignment="0" applyProtection="0"/>
    <xf numFmtId="0" fontId="2" fillId="0" borderId="0">
      <alignment/>
      <protection/>
    </xf>
    <xf numFmtId="0" fontId="1" fillId="0" borderId="0">
      <alignment/>
      <protection locked="0"/>
    </xf>
    <xf numFmtId="41" fontId="0" fillId="0" borderId="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43" fontId="0" fillId="0" borderId="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50" fillId="31" borderId="0" applyNumberFormat="0" applyBorder="0" applyAlignment="0" applyProtection="0"/>
    <xf numFmtId="0" fontId="0" fillId="0"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ill="0" applyBorder="0" applyAlignment="0" applyProtection="0"/>
    <xf numFmtId="168" fontId="0" fillId="0" borderId="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68">
    <xf numFmtId="0" fontId="0" fillId="0" borderId="0" xfId="0" applyAlignment="1">
      <alignment/>
    </xf>
    <xf numFmtId="2" fontId="0" fillId="0" borderId="0" xfId="0" applyNumberFormat="1" applyAlignment="1">
      <alignment/>
    </xf>
    <xf numFmtId="4" fontId="0" fillId="0" borderId="0" xfId="0" applyNumberFormat="1" applyAlignment="1">
      <alignment/>
    </xf>
    <xf numFmtId="0" fontId="0" fillId="0" borderId="0" xfId="0" applyFont="1" applyFill="1" applyAlignment="1">
      <alignment/>
    </xf>
    <xf numFmtId="1" fontId="0" fillId="0" borderId="0" xfId="0" applyNumberFormat="1" applyAlignment="1">
      <alignment/>
    </xf>
    <xf numFmtId="4" fontId="0" fillId="0" borderId="0" xfId="0" applyNumberFormat="1" applyFill="1" applyAlignment="1">
      <alignment/>
    </xf>
    <xf numFmtId="0" fontId="5" fillId="0" borderId="0" xfId="0" applyFont="1" applyAlignment="1">
      <alignment/>
    </xf>
    <xf numFmtId="0" fontId="0" fillId="0" borderId="0" xfId="0" applyFill="1" applyAlignment="1">
      <alignment/>
    </xf>
    <xf numFmtId="2" fontId="0" fillId="0" borderId="0" xfId="0" applyNumberFormat="1" applyFill="1" applyAlignment="1">
      <alignment/>
    </xf>
    <xf numFmtId="0" fontId="3" fillId="0" borderId="0" xfId="0" applyFont="1" applyFill="1" applyAlignment="1">
      <alignment/>
    </xf>
    <xf numFmtId="0" fontId="0" fillId="0" borderId="0" xfId="0" applyFont="1" applyAlignment="1">
      <alignment/>
    </xf>
    <xf numFmtId="0" fontId="0" fillId="33" borderId="0" xfId="0" applyFill="1" applyAlignment="1">
      <alignment vertical="center"/>
    </xf>
    <xf numFmtId="0" fontId="0" fillId="34" borderId="10" xfId="0" applyFill="1" applyBorder="1" applyAlignment="1">
      <alignment vertical="center"/>
    </xf>
    <xf numFmtId="0" fontId="0" fillId="34" borderId="10" xfId="0" applyFill="1" applyBorder="1" applyAlignment="1">
      <alignment horizontal="right" vertical="center" wrapText="1"/>
    </xf>
    <xf numFmtId="2" fontId="0"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0" fontId="0" fillId="0" borderId="0" xfId="0" applyAlignment="1">
      <alignment vertical="center"/>
    </xf>
    <xf numFmtId="1" fontId="0" fillId="33" borderId="10" xfId="0" applyNumberFormat="1" applyFill="1" applyBorder="1" applyAlignment="1">
      <alignment vertical="center"/>
    </xf>
    <xf numFmtId="2" fontId="0" fillId="35" borderId="10" xfId="0" applyNumberFormat="1" applyFill="1" applyBorder="1" applyAlignment="1">
      <alignment vertical="center"/>
    </xf>
    <xf numFmtId="3" fontId="0" fillId="35" borderId="10" xfId="0" applyNumberFormat="1" applyFill="1" applyBorder="1" applyAlignment="1">
      <alignment vertical="center"/>
    </xf>
    <xf numFmtId="0" fontId="0" fillId="35" borderId="10" xfId="0" applyFill="1" applyBorder="1" applyAlignment="1">
      <alignment vertical="center"/>
    </xf>
    <xf numFmtId="0" fontId="0" fillId="33" borderId="10" xfId="0" applyFill="1" applyBorder="1" applyAlignment="1">
      <alignment vertical="center"/>
    </xf>
    <xf numFmtId="0" fontId="0" fillId="35" borderId="11" xfId="0" applyFill="1" applyBorder="1" applyAlignment="1">
      <alignment vertical="center"/>
    </xf>
    <xf numFmtId="2" fontId="0" fillId="35" borderId="11" xfId="0" applyNumberFormat="1" applyFill="1" applyBorder="1" applyAlignment="1">
      <alignment vertical="center"/>
    </xf>
    <xf numFmtId="0" fontId="0" fillId="33" borderId="11" xfId="0" applyFill="1" applyBorder="1" applyAlignment="1">
      <alignment vertical="center"/>
    </xf>
    <xf numFmtId="3" fontId="0" fillId="35" borderId="11" xfId="0" applyNumberFormat="1" applyFill="1" applyBorder="1" applyAlignment="1">
      <alignment vertical="center"/>
    </xf>
    <xf numFmtId="0" fontId="3" fillId="36" borderId="10" xfId="0" applyFont="1" applyFill="1" applyBorder="1" applyAlignment="1">
      <alignment vertical="center"/>
    </xf>
    <xf numFmtId="2" fontId="3" fillId="36" borderId="10" xfId="0" applyNumberFormat="1" applyFont="1" applyFill="1" applyBorder="1" applyAlignment="1">
      <alignment vertical="center"/>
    </xf>
    <xf numFmtId="3" fontId="3" fillId="36" borderId="10" xfId="0" applyNumberFormat="1" applyFont="1" applyFill="1" applyBorder="1" applyAlignment="1">
      <alignment vertical="center"/>
    </xf>
    <xf numFmtId="0" fontId="0" fillId="35" borderId="12" xfId="0" applyFill="1" applyBorder="1" applyAlignment="1">
      <alignment vertical="center"/>
    </xf>
    <xf numFmtId="2" fontId="0" fillId="35" borderId="12" xfId="0" applyNumberFormat="1" applyFill="1" applyBorder="1" applyAlignment="1">
      <alignment vertical="center"/>
    </xf>
    <xf numFmtId="3" fontId="0" fillId="35" borderId="12" xfId="0" applyNumberFormat="1" applyFill="1" applyBorder="1" applyAlignment="1">
      <alignment vertical="center"/>
    </xf>
    <xf numFmtId="0" fontId="0" fillId="35" borderId="13" xfId="0" applyFont="1" applyFill="1" applyBorder="1" applyAlignment="1">
      <alignment vertical="center"/>
    </xf>
    <xf numFmtId="0" fontId="0" fillId="35" borderId="14" xfId="0" applyFill="1" applyBorder="1" applyAlignment="1">
      <alignment vertical="center"/>
    </xf>
    <xf numFmtId="3" fontId="7" fillId="35" borderId="10" xfId="0" applyNumberFormat="1" applyFont="1" applyFill="1" applyBorder="1" applyAlignment="1">
      <alignment vertical="center"/>
    </xf>
    <xf numFmtId="0" fontId="0" fillId="0" borderId="0" xfId="0" applyFill="1" applyBorder="1" applyAlignment="1">
      <alignment vertical="center"/>
    </xf>
    <xf numFmtId="2" fontId="0" fillId="35" borderId="13" xfId="0" applyNumberFormat="1" applyFill="1" applyBorder="1" applyAlignment="1">
      <alignment vertical="center"/>
    </xf>
    <xf numFmtId="0" fontId="3" fillId="36" borderId="0" xfId="0" applyFont="1" applyFill="1" applyAlignment="1">
      <alignment vertical="center"/>
    </xf>
    <xf numFmtId="0" fontId="3" fillId="34" borderId="10" xfId="0" applyFont="1" applyFill="1" applyBorder="1" applyAlignment="1">
      <alignment vertical="center"/>
    </xf>
    <xf numFmtId="2" fontId="3" fillId="34" borderId="10" xfId="0" applyNumberFormat="1" applyFont="1" applyFill="1" applyBorder="1" applyAlignment="1">
      <alignment vertical="center"/>
    </xf>
    <xf numFmtId="3" fontId="3" fillId="34" borderId="10" xfId="0" applyNumberFormat="1" applyFont="1" applyFill="1" applyBorder="1" applyAlignment="1">
      <alignment vertical="center"/>
    </xf>
    <xf numFmtId="2" fontId="0" fillId="0" borderId="0" xfId="0" applyNumberFormat="1" applyAlignment="1">
      <alignment vertical="center"/>
    </xf>
    <xf numFmtId="4" fontId="0" fillId="0" borderId="0" xfId="0" applyNumberFormat="1" applyAlignment="1">
      <alignment vertical="center"/>
    </xf>
    <xf numFmtId="0" fontId="0" fillId="34" borderId="10" xfId="0" applyFill="1" applyBorder="1" applyAlignment="1">
      <alignment horizontal="right" vertical="center"/>
    </xf>
    <xf numFmtId="3" fontId="0" fillId="34" borderId="10" xfId="0" applyNumberFormat="1" applyFill="1" applyBorder="1" applyAlignment="1">
      <alignment horizontal="right" vertical="center" wrapText="1"/>
    </xf>
    <xf numFmtId="0" fontId="0" fillId="0" borderId="0" xfId="0" applyFont="1" applyFill="1" applyAlignment="1">
      <alignment vertical="center"/>
    </xf>
    <xf numFmtId="0" fontId="0" fillId="0" borderId="0" xfId="0" applyFill="1" applyAlignment="1">
      <alignment vertical="center"/>
    </xf>
    <xf numFmtId="9" fontId="0" fillId="0" borderId="0" xfId="0" applyNumberFormat="1" applyAlignment="1">
      <alignment vertical="center"/>
    </xf>
    <xf numFmtId="4" fontId="0" fillId="35" borderId="10" xfId="0" applyNumberFormat="1" applyFill="1" applyBorder="1" applyAlignment="1">
      <alignment vertical="center"/>
    </xf>
    <xf numFmtId="0" fontId="0" fillId="36" borderId="0" xfId="0" applyFont="1" applyFill="1" applyAlignment="1">
      <alignment vertical="center"/>
    </xf>
    <xf numFmtId="2" fontId="0" fillId="36" borderId="0" xfId="0" applyNumberFormat="1" applyFill="1" applyAlignment="1">
      <alignment vertical="center"/>
    </xf>
    <xf numFmtId="3" fontId="0" fillId="36" borderId="0" xfId="0" applyNumberFormat="1" applyFill="1" applyAlignment="1">
      <alignment vertical="center"/>
    </xf>
    <xf numFmtId="3" fontId="0" fillId="0" borderId="0" xfId="0" applyNumberFormat="1" applyAlignment="1">
      <alignment vertical="center"/>
    </xf>
    <xf numFmtId="0" fontId="0" fillId="35" borderId="15" xfId="0" applyFill="1" applyBorder="1" applyAlignment="1">
      <alignment vertical="center"/>
    </xf>
    <xf numFmtId="0" fontId="0" fillId="35" borderId="0" xfId="0" applyFont="1" applyFill="1" applyBorder="1" applyAlignment="1">
      <alignment vertical="center"/>
    </xf>
    <xf numFmtId="0" fontId="0" fillId="35" borderId="10" xfId="0" applyFill="1" applyBorder="1" applyAlignment="1">
      <alignment horizontal="center" vertical="center"/>
    </xf>
    <xf numFmtId="0" fontId="0" fillId="36" borderId="10" xfId="0" applyFont="1" applyFill="1" applyBorder="1" applyAlignment="1">
      <alignment vertical="center"/>
    </xf>
    <xf numFmtId="2" fontId="0" fillId="36" borderId="10" xfId="0" applyNumberFormat="1" applyFill="1" applyBorder="1" applyAlignment="1">
      <alignment vertical="center"/>
    </xf>
    <xf numFmtId="3" fontId="0" fillId="36" borderId="10" xfId="0" applyNumberFormat="1" applyFill="1" applyBorder="1" applyAlignment="1">
      <alignment vertical="center"/>
    </xf>
    <xf numFmtId="2" fontId="0" fillId="34" borderId="10" xfId="0" applyNumberFormat="1" applyFont="1" applyFill="1" applyBorder="1" applyAlignment="1">
      <alignment vertical="center"/>
    </xf>
    <xf numFmtId="3" fontId="0" fillId="34" borderId="10" xfId="0" applyNumberFormat="1" applyFont="1" applyFill="1" applyBorder="1" applyAlignment="1">
      <alignment vertical="center"/>
    </xf>
    <xf numFmtId="1" fontId="0" fillId="0" borderId="0" xfId="0" applyNumberFormat="1" applyAlignment="1">
      <alignment vertical="center"/>
    </xf>
    <xf numFmtId="1" fontId="0" fillId="34" borderId="10" xfId="0" applyNumberFormat="1" applyFont="1" applyFill="1" applyBorder="1" applyAlignment="1">
      <alignment horizontal="right" vertical="center" wrapText="1"/>
    </xf>
    <xf numFmtId="2" fontId="7" fillId="35" borderId="10" xfId="0" applyNumberFormat="1" applyFont="1" applyFill="1" applyBorder="1" applyAlignment="1">
      <alignment vertical="center"/>
    </xf>
    <xf numFmtId="191" fontId="7" fillId="35" borderId="10" xfId="0" applyNumberFormat="1" applyFont="1" applyFill="1" applyBorder="1" applyAlignment="1">
      <alignment vertical="center"/>
    </xf>
    <xf numFmtId="4" fontId="7" fillId="35" borderId="10" xfId="0" applyNumberFormat="1" applyFont="1" applyFill="1" applyBorder="1" applyAlignment="1">
      <alignment vertical="center"/>
    </xf>
    <xf numFmtId="0" fontId="0" fillId="37" borderId="10" xfId="0" applyFill="1" applyBorder="1" applyAlignment="1">
      <alignment vertical="center"/>
    </xf>
    <xf numFmtId="0" fontId="10" fillId="0" borderId="0" xfId="0" applyFont="1" applyAlignment="1">
      <alignment vertical="center"/>
    </xf>
    <xf numFmtId="4" fontId="0" fillId="33" borderId="16" xfId="0" applyNumberFormat="1" applyFill="1" applyBorder="1" applyAlignment="1">
      <alignment vertical="center"/>
    </xf>
    <xf numFmtId="4" fontId="0" fillId="33" borderId="17" xfId="0" applyNumberFormat="1" applyFill="1" applyBorder="1" applyAlignment="1">
      <alignment vertical="center"/>
    </xf>
    <xf numFmtId="4" fontId="0" fillId="33" borderId="18" xfId="0" applyNumberFormat="1" applyFill="1" applyBorder="1" applyAlignment="1">
      <alignment vertical="center"/>
    </xf>
    <xf numFmtId="0" fontId="0" fillId="0" borderId="0" xfId="0" applyFont="1" applyAlignment="1">
      <alignment vertical="center"/>
    </xf>
    <xf numFmtId="0" fontId="0" fillId="0" borderId="0" xfId="0" applyFill="1" applyBorder="1" applyAlignment="1">
      <alignment horizontal="center" vertical="center"/>
    </xf>
    <xf numFmtId="0" fontId="0" fillId="37" borderId="0" xfId="0" applyFill="1" applyAlignment="1">
      <alignment vertical="center"/>
    </xf>
    <xf numFmtId="3" fontId="0" fillId="37" borderId="0" xfId="0" applyNumberFormat="1" applyFill="1" applyAlignment="1">
      <alignment vertical="center"/>
    </xf>
    <xf numFmtId="2" fontId="0" fillId="37" borderId="0" xfId="0" applyNumberFormat="1" applyFill="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0" fontId="0" fillId="35" borderId="0" xfId="0" applyFill="1" applyAlignment="1">
      <alignment vertical="center"/>
    </xf>
    <xf numFmtId="0" fontId="0" fillId="35" borderId="0" xfId="0" applyFont="1" applyFill="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3" fillId="35" borderId="15" xfId="0" applyFont="1" applyFill="1" applyBorder="1" applyAlignment="1">
      <alignment vertical="center"/>
    </xf>
    <xf numFmtId="4" fontId="3" fillId="35" borderId="11" xfId="0" applyNumberFormat="1" applyFont="1" applyFill="1" applyBorder="1" applyAlignment="1">
      <alignment vertical="center"/>
    </xf>
    <xf numFmtId="3" fontId="3" fillId="35" borderId="11" xfId="0" applyNumberFormat="1" applyFont="1" applyFill="1" applyBorder="1" applyAlignment="1">
      <alignment vertical="center"/>
    </xf>
    <xf numFmtId="2" fontId="0" fillId="35" borderId="15" xfId="0" applyNumberFormat="1" applyFont="1" applyFill="1" applyBorder="1" applyAlignment="1">
      <alignment vertical="center"/>
    </xf>
    <xf numFmtId="4" fontId="7" fillId="35" borderId="11" xfId="0" applyNumberFormat="1" applyFont="1" applyFill="1" applyBorder="1" applyAlignment="1">
      <alignment vertical="center"/>
    </xf>
    <xf numFmtId="0" fontId="0" fillId="33" borderId="10" xfId="0" applyFont="1" applyFill="1" applyBorder="1" applyAlignment="1">
      <alignment vertical="center"/>
    </xf>
    <xf numFmtId="4" fontId="0" fillId="35" borderId="10" xfId="0" applyNumberFormat="1" applyFont="1" applyFill="1" applyBorder="1" applyAlignment="1">
      <alignment vertical="center"/>
    </xf>
    <xf numFmtId="3" fontId="3" fillId="35" borderId="10" xfId="0" applyNumberFormat="1" applyFont="1" applyFill="1" applyBorder="1" applyAlignment="1">
      <alignment vertical="center"/>
    </xf>
    <xf numFmtId="4" fontId="4" fillId="0" borderId="0" xfId="0" applyNumberFormat="1" applyFont="1" applyAlignment="1">
      <alignment vertical="center"/>
    </xf>
    <xf numFmtId="0" fontId="3" fillId="35" borderId="0" xfId="0" applyFont="1" applyFill="1" applyAlignment="1">
      <alignment vertical="center"/>
    </xf>
    <xf numFmtId="1" fontId="0" fillId="35" borderId="10" xfId="0" applyNumberFormat="1" applyFont="1" applyFill="1" applyBorder="1" applyAlignment="1">
      <alignment vertical="center"/>
    </xf>
    <xf numFmtId="0" fontId="0" fillId="35" borderId="10" xfId="0" applyFont="1" applyFill="1" applyBorder="1" applyAlignment="1">
      <alignment vertical="center"/>
    </xf>
    <xf numFmtId="4" fontId="0" fillId="0" borderId="0" xfId="0" applyNumberFormat="1" applyFill="1" applyBorder="1" applyAlignment="1">
      <alignment vertical="center"/>
    </xf>
    <xf numFmtId="3" fontId="3" fillId="0" borderId="0" xfId="0" applyNumberFormat="1" applyFont="1" applyFill="1" applyBorder="1" applyAlignment="1">
      <alignment vertical="center"/>
    </xf>
    <xf numFmtId="0" fontId="3" fillId="35" borderId="10" xfId="0" applyFont="1" applyFill="1" applyBorder="1" applyAlignment="1">
      <alignment vertical="center"/>
    </xf>
    <xf numFmtId="0" fontId="0" fillId="34" borderId="0" xfId="0" applyFont="1" applyFill="1" applyAlignment="1">
      <alignment vertical="center"/>
    </xf>
    <xf numFmtId="3" fontId="0" fillId="34" borderId="0" xfId="0" applyNumberFormat="1" applyFont="1" applyFill="1" applyAlignment="1">
      <alignment vertical="center"/>
    </xf>
    <xf numFmtId="4" fontId="0" fillId="34" borderId="0" xfId="0" applyNumberFormat="1" applyFont="1" applyFill="1" applyAlignment="1">
      <alignment vertical="center"/>
    </xf>
    <xf numFmtId="0" fontId="4" fillId="34" borderId="0" xfId="0" applyFont="1" applyFill="1" applyAlignment="1">
      <alignment vertical="center"/>
    </xf>
    <xf numFmtId="4" fontId="4" fillId="34" borderId="0" xfId="0" applyNumberFormat="1" applyFont="1" applyFill="1" applyAlignment="1">
      <alignment vertical="center"/>
    </xf>
    <xf numFmtId="3" fontId="4" fillId="34" borderId="0" xfId="0" applyNumberFormat="1" applyFont="1" applyFill="1" applyAlignment="1">
      <alignment vertical="center"/>
    </xf>
    <xf numFmtId="0" fontId="3" fillId="37" borderId="10" xfId="0" applyFont="1" applyFill="1" applyBorder="1" applyAlignment="1">
      <alignment vertical="center"/>
    </xf>
    <xf numFmtId="2" fontId="0" fillId="34" borderId="10" xfId="0" applyNumberFormat="1" applyFont="1" applyFill="1" applyBorder="1" applyAlignment="1">
      <alignment horizontal="right" vertical="center"/>
    </xf>
    <xf numFmtId="2" fontId="0" fillId="33" borderId="10" xfId="0" applyNumberFormat="1" applyFill="1" applyBorder="1" applyAlignment="1">
      <alignment vertical="center"/>
    </xf>
    <xf numFmtId="2" fontId="0" fillId="35" borderId="0" xfId="0" applyNumberFormat="1" applyFill="1" applyAlignment="1">
      <alignment vertical="center"/>
    </xf>
    <xf numFmtId="2" fontId="0" fillId="33" borderId="11" xfId="0" applyNumberFormat="1" applyFill="1" applyBorder="1" applyAlignment="1">
      <alignment vertical="center"/>
    </xf>
    <xf numFmtId="4" fontId="0" fillId="33" borderId="10" xfId="0" applyNumberFormat="1" applyFill="1" applyBorder="1" applyAlignment="1">
      <alignment vertical="center"/>
    </xf>
    <xf numFmtId="4" fontId="0" fillId="33" borderId="11" xfId="0" applyNumberFormat="1" applyFill="1" applyBorder="1" applyAlignment="1">
      <alignment vertical="center"/>
    </xf>
    <xf numFmtId="0" fontId="0" fillId="0" borderId="0" xfId="0" applyFont="1" applyFill="1" applyBorder="1" applyAlignment="1">
      <alignment vertical="center"/>
    </xf>
    <xf numFmtId="0" fontId="0" fillId="35" borderId="19" xfId="0" applyFill="1" applyBorder="1" applyAlignment="1">
      <alignment vertical="center"/>
    </xf>
    <xf numFmtId="0" fontId="0" fillId="35" borderId="19" xfId="0" applyFill="1" applyBorder="1" applyAlignment="1" quotePrefix="1">
      <alignment vertical="center"/>
    </xf>
    <xf numFmtId="4" fontId="7" fillId="33" borderId="11" xfId="0" applyNumberFormat="1" applyFont="1" applyFill="1" applyBorder="1" applyAlignment="1">
      <alignment vertical="center"/>
    </xf>
    <xf numFmtId="0" fontId="3" fillId="0" borderId="0" xfId="0" applyFont="1" applyFill="1" applyBorder="1" applyAlignment="1">
      <alignment vertical="center"/>
    </xf>
    <xf numFmtId="0" fontId="0" fillId="38" borderId="19" xfId="0" applyFill="1" applyBorder="1" applyAlignment="1">
      <alignment vertical="center"/>
    </xf>
    <xf numFmtId="2" fontId="0" fillId="0" borderId="0" xfId="0" applyNumberFormat="1" applyAlignment="1" quotePrefix="1">
      <alignment vertical="center"/>
    </xf>
    <xf numFmtId="4" fontId="7" fillId="33" borderId="10" xfId="0" applyNumberFormat="1" applyFont="1" applyFill="1" applyBorder="1" applyAlignment="1">
      <alignment vertical="center"/>
    </xf>
    <xf numFmtId="2" fontId="0" fillId="33" borderId="0" xfId="0" applyNumberFormat="1" applyFill="1" applyAlignment="1">
      <alignment vertical="center"/>
    </xf>
    <xf numFmtId="0" fontId="0" fillId="39" borderId="20" xfId="0" applyFill="1" applyBorder="1" applyAlignment="1">
      <alignment horizontal="right" vertical="center"/>
    </xf>
    <xf numFmtId="0" fontId="0" fillId="35" borderId="10" xfId="0" applyFill="1" applyBorder="1" applyAlignment="1" quotePrefix="1">
      <alignment vertical="center"/>
    </xf>
    <xf numFmtId="0" fontId="0" fillId="39" borderId="21" xfId="0" applyFill="1" applyBorder="1" applyAlignment="1">
      <alignment vertical="center"/>
    </xf>
    <xf numFmtId="0" fontId="0" fillId="39" borderId="22" xfId="0" applyFill="1" applyBorder="1" applyAlignment="1">
      <alignment vertical="center"/>
    </xf>
    <xf numFmtId="0" fontId="0" fillId="35" borderId="10" xfId="0" applyFill="1" applyBorder="1" applyAlignment="1" applyProtection="1" quotePrefix="1">
      <alignment vertical="center"/>
      <protection/>
    </xf>
    <xf numFmtId="0" fontId="0" fillId="39" borderId="23" xfId="0" applyFill="1" applyBorder="1" applyAlignment="1">
      <alignment vertical="center"/>
    </xf>
    <xf numFmtId="0" fontId="0" fillId="39" borderId="24" xfId="0" applyFill="1" applyBorder="1" applyAlignment="1">
      <alignment vertical="center"/>
    </xf>
    <xf numFmtId="0" fontId="15" fillId="40" borderId="0" xfId="0" applyFont="1" applyFill="1" applyAlignment="1">
      <alignment vertical="center"/>
    </xf>
    <xf numFmtId="1" fontId="15" fillId="40" borderId="0" xfId="0" applyNumberFormat="1" applyFont="1" applyFill="1" applyAlignment="1">
      <alignment vertical="center"/>
    </xf>
    <xf numFmtId="0" fontId="15" fillId="0" borderId="0" xfId="0" applyFont="1" applyAlignment="1">
      <alignment vertical="center"/>
    </xf>
    <xf numFmtId="0" fontId="0" fillId="0" borderId="0" xfId="0" applyAlignment="1">
      <alignment horizontal="left"/>
    </xf>
    <xf numFmtId="0" fontId="11" fillId="0" borderId="0" xfId="0" applyFont="1" applyAlignment="1">
      <alignment horizontal="left"/>
    </xf>
    <xf numFmtId="1" fontId="0" fillId="37" borderId="10" xfId="0" applyNumberFormat="1" applyFill="1" applyBorder="1" applyAlignment="1">
      <alignment vertical="center"/>
    </xf>
    <xf numFmtId="1" fontId="3" fillId="37" borderId="10" xfId="0" applyNumberFormat="1" applyFont="1" applyFill="1" applyBorder="1" applyAlignment="1">
      <alignment vertical="center"/>
    </xf>
    <xf numFmtId="0" fontId="0" fillId="0" borderId="0" xfId="0" applyFont="1" applyAlignment="1">
      <alignment horizontal="left"/>
    </xf>
    <xf numFmtId="0" fontId="0" fillId="0" borderId="0" xfId="0" applyAlignment="1">
      <alignment vertical="top"/>
    </xf>
    <xf numFmtId="0" fontId="16" fillId="0" borderId="0" xfId="0" applyFont="1" applyAlignment="1">
      <alignment/>
    </xf>
    <xf numFmtId="0" fontId="58"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top" wrapText="1"/>
    </xf>
    <xf numFmtId="0" fontId="16" fillId="0" borderId="0" xfId="0" applyFont="1" applyAlignment="1">
      <alignment vertical="top"/>
    </xf>
    <xf numFmtId="0" fontId="11" fillId="0" borderId="0" xfId="0" applyFont="1" applyAlignment="1">
      <alignment vertical="center" wrapText="1"/>
    </xf>
    <xf numFmtId="0" fontId="59" fillId="0" borderId="0" xfId="0" applyFont="1" applyAlignment="1">
      <alignment vertical="top" wrapText="1"/>
    </xf>
    <xf numFmtId="0" fontId="0" fillId="0" borderId="0" xfId="0" applyFont="1" applyAlignment="1">
      <alignment wrapText="1"/>
    </xf>
    <xf numFmtId="0" fontId="0" fillId="39" borderId="25" xfId="0" applyFill="1" applyBorder="1" applyAlignment="1">
      <alignment horizontal="left" vertical="center"/>
    </xf>
    <xf numFmtId="0" fontId="0" fillId="0" borderId="0" xfId="0" applyAlignment="1">
      <alignment vertical="top" wrapText="1"/>
    </xf>
    <xf numFmtId="0" fontId="16" fillId="0" borderId="0" xfId="0" applyFont="1" applyAlignment="1">
      <alignment vertical="center" wrapText="1"/>
    </xf>
    <xf numFmtId="0" fontId="60" fillId="41" borderId="0" xfId="0" applyFont="1" applyFill="1" applyAlignment="1">
      <alignment vertical="center" wrapText="1"/>
    </xf>
    <xf numFmtId="0" fontId="59" fillId="0" borderId="0" xfId="0" applyFont="1" applyAlignment="1">
      <alignment vertical="center" wrapText="1"/>
    </xf>
    <xf numFmtId="0" fontId="11" fillId="0" borderId="0" xfId="0" applyFont="1" applyAlignment="1">
      <alignment vertical="top" wrapText="1"/>
    </xf>
    <xf numFmtId="0" fontId="8" fillId="0" borderId="0" xfId="49"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4" fillId="42" borderId="0" xfId="0" applyFont="1" applyFill="1" applyAlignment="1">
      <alignment vertical="center" wrapText="1"/>
    </xf>
    <xf numFmtId="0" fontId="11" fillId="42" borderId="0" xfId="0" applyFont="1" applyFill="1" applyAlignment="1">
      <alignment vertical="center" wrapText="1"/>
    </xf>
    <xf numFmtId="0" fontId="15" fillId="41" borderId="0" xfId="0" applyFont="1" applyFill="1" applyAlignment="1">
      <alignment vertical="center" wrapText="1"/>
    </xf>
    <xf numFmtId="0" fontId="16" fillId="0" borderId="0" xfId="0" applyFont="1" applyAlignment="1">
      <alignment/>
    </xf>
    <xf numFmtId="0" fontId="58" fillId="0" borderId="0" xfId="0" applyFont="1" applyAlignment="1">
      <alignment vertical="center" wrapText="1"/>
    </xf>
    <xf numFmtId="0" fontId="61" fillId="0" borderId="0" xfId="0" applyFont="1" applyAlignment="1">
      <alignment vertical="center" wrapText="1"/>
    </xf>
    <xf numFmtId="0" fontId="15" fillId="40" borderId="0" xfId="0" applyFont="1" applyFill="1" applyBorder="1" applyAlignment="1">
      <alignment horizontal="left" vertical="center" wrapText="1"/>
    </xf>
    <xf numFmtId="0" fontId="0" fillId="0" borderId="0" xfId="0" applyFont="1" applyAlignment="1">
      <alignment wrapText="1"/>
    </xf>
    <xf numFmtId="0" fontId="0" fillId="0" borderId="0" xfId="0" applyAlignment="1">
      <alignment vertical="center"/>
    </xf>
    <xf numFmtId="0" fontId="0" fillId="0" borderId="26" xfId="0" applyBorder="1" applyAlignment="1">
      <alignment vertical="center"/>
    </xf>
    <xf numFmtId="0" fontId="0" fillId="0" borderId="0" xfId="0" applyAlignment="1">
      <alignment vertical="top" wrapText="1"/>
    </xf>
    <xf numFmtId="0" fontId="15" fillId="40" borderId="0" xfId="0" applyFont="1" applyFill="1" applyAlignment="1">
      <alignment horizontal="left" vertical="center"/>
    </xf>
    <xf numFmtId="0" fontId="0" fillId="0" borderId="0" xfId="0" applyAlignment="1">
      <alignment vertical="top"/>
    </xf>
    <xf numFmtId="0" fontId="0" fillId="0" borderId="0" xfId="0" applyAlignment="1">
      <alignment vertical="center" wrapText="1"/>
    </xf>
    <xf numFmtId="0" fontId="0" fillId="0" borderId="26" xfId="0" applyBorder="1" applyAlignment="1">
      <alignment vertical="center" wrapText="1"/>
    </xf>
    <xf numFmtId="0" fontId="4" fillId="34" borderId="0" xfId="0" applyFont="1" applyFill="1" applyAlignment="1">
      <alignmen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dbkatalog" xfId="42"/>
    <cellStyle name="DB-Katalog" xfId="43"/>
    <cellStyle name="Comma [0]" xfId="44"/>
    <cellStyle name="Eingabe" xfId="45"/>
    <cellStyle name="Ergebnis" xfId="46"/>
    <cellStyle name="Erklärender Text" xfId="47"/>
    <cellStyle name="Gut" xfId="48"/>
    <cellStyle name="Hyperlink" xfId="49"/>
    <cellStyle name="Comma" xfId="50"/>
    <cellStyle name="Neutral" xfId="51"/>
    <cellStyle name="Notiz" xfId="52"/>
    <cellStyle name="Percent" xfId="53"/>
    <cellStyle name="Schlecht" xfId="54"/>
    <cellStyle name="test"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i.haesel@fibl.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0"/>
  <sheetViews>
    <sheetView showGridLines="0" tabSelected="1" zoomScalePageLayoutView="120" workbookViewId="0" topLeftCell="A1">
      <selection activeCell="A32" sqref="A32"/>
    </sheetView>
  </sheetViews>
  <sheetFormatPr defaultColWidth="9.140625" defaultRowHeight="12.75"/>
  <cols>
    <col min="1" max="1" width="3.28125" style="129" customWidth="1"/>
    <col min="2" max="2" width="85.28125" style="129" customWidth="1"/>
  </cols>
  <sheetData>
    <row r="1" spans="1:2" ht="33">
      <c r="A1" s="152" t="s">
        <v>14</v>
      </c>
      <c r="B1" s="152"/>
    </row>
    <row r="2" spans="1:2" ht="15">
      <c r="A2" s="153" t="s">
        <v>15</v>
      </c>
      <c r="B2" s="153"/>
    </row>
    <row r="3" spans="1:2" ht="15">
      <c r="A3" s="153"/>
      <c r="B3" s="153"/>
    </row>
    <row r="4" spans="1:2" ht="17.25">
      <c r="A4" s="154" t="s">
        <v>16</v>
      </c>
      <c r="B4" s="154"/>
    </row>
    <row r="5" spans="1:2" ht="9" customHeight="1">
      <c r="A5" s="155"/>
      <c r="B5" s="155"/>
    </row>
    <row r="6" spans="1:2" ht="32.25" customHeight="1">
      <c r="A6" s="156" t="s">
        <v>182</v>
      </c>
      <c r="B6" s="156"/>
    </row>
    <row r="7" spans="1:2" ht="135" customHeight="1">
      <c r="A7" s="156" t="s">
        <v>17</v>
      </c>
      <c r="B7" s="156"/>
    </row>
    <row r="8" spans="1:2" ht="7.5" customHeight="1">
      <c r="A8" s="145"/>
      <c r="B8" s="145"/>
    </row>
    <row r="9" spans="1:2" ht="44.25" customHeight="1">
      <c r="A9" s="156" t="s">
        <v>18</v>
      </c>
      <c r="B9" s="156"/>
    </row>
    <row r="10" spans="1:2" ht="6" customHeight="1">
      <c r="A10" s="145"/>
      <c r="B10" s="145"/>
    </row>
    <row r="11" spans="1:2" ht="39.75" customHeight="1">
      <c r="A11" s="156" t="s">
        <v>19</v>
      </c>
      <c r="B11" s="156"/>
    </row>
    <row r="12" spans="1:2" ht="15">
      <c r="A12" s="157" t="s">
        <v>20</v>
      </c>
      <c r="B12" s="157"/>
    </row>
    <row r="13" spans="1:2" ht="15">
      <c r="A13" s="157" t="s">
        <v>21</v>
      </c>
      <c r="B13" s="157"/>
    </row>
    <row r="14" spans="1:2" ht="6.75" customHeight="1">
      <c r="A14" s="145"/>
      <c r="B14" s="145"/>
    </row>
    <row r="15" spans="1:2" ht="46.5" customHeight="1">
      <c r="A15" s="156" t="s">
        <v>22</v>
      </c>
      <c r="B15" s="156"/>
    </row>
    <row r="16" spans="1:2" ht="14.25">
      <c r="A16" s="145"/>
      <c r="B16" s="145"/>
    </row>
    <row r="17" spans="1:2" ht="17.25">
      <c r="A17" s="146" t="s">
        <v>183</v>
      </c>
      <c r="B17" s="146"/>
    </row>
    <row r="18" spans="1:2" s="134" customFormat="1" ht="6" customHeight="1">
      <c r="A18" s="138"/>
      <c r="B18" s="139"/>
    </row>
    <row r="19" spans="1:2" s="134" customFormat="1" ht="15">
      <c r="A19" s="141">
        <v>1</v>
      </c>
      <c r="B19" s="140" t="s">
        <v>23</v>
      </c>
    </row>
    <row r="20" spans="1:2" s="134" customFormat="1" ht="45">
      <c r="A20" s="141">
        <v>2</v>
      </c>
      <c r="B20" s="136" t="s">
        <v>160</v>
      </c>
    </row>
    <row r="21" spans="1:2" s="134" customFormat="1" ht="30">
      <c r="A21" s="141">
        <v>3</v>
      </c>
      <c r="B21" s="140" t="s">
        <v>24</v>
      </c>
    </row>
    <row r="22" spans="1:2" s="134" customFormat="1" ht="45">
      <c r="A22" s="141">
        <v>4</v>
      </c>
      <c r="B22" s="140" t="s">
        <v>25</v>
      </c>
    </row>
    <row r="23" spans="1:2" s="134" customFormat="1" ht="15">
      <c r="A23" s="141">
        <v>5</v>
      </c>
      <c r="B23" s="140" t="s">
        <v>26</v>
      </c>
    </row>
    <row r="24" spans="1:2" ht="12" customHeight="1">
      <c r="A24" s="137"/>
      <c r="B24" s="135"/>
    </row>
    <row r="25" spans="1:2" ht="15">
      <c r="A25" s="147" t="s">
        <v>27</v>
      </c>
      <c r="B25" s="147"/>
    </row>
    <row r="26" spans="1:2" ht="33" customHeight="1">
      <c r="A26" s="148" t="s">
        <v>28</v>
      </c>
      <c r="B26" s="148"/>
    </row>
    <row r="27" spans="1:2" ht="3" customHeight="1">
      <c r="A27" s="137"/>
      <c r="B27" s="137"/>
    </row>
    <row r="28" spans="1:2" ht="15">
      <c r="A28" s="151" t="s">
        <v>13</v>
      </c>
      <c r="B28" s="151"/>
    </row>
    <row r="29" spans="1:2" ht="15">
      <c r="A29" s="151" t="s">
        <v>29</v>
      </c>
      <c r="B29" s="151"/>
    </row>
    <row r="30" spans="1:2" ht="12.75">
      <c r="A30" s="149" t="s">
        <v>12</v>
      </c>
      <c r="B30" s="149"/>
    </row>
    <row r="31" spans="1:2" ht="15">
      <c r="A31" s="150" t="s">
        <v>30</v>
      </c>
      <c r="B31" s="150"/>
    </row>
    <row r="32" spans="1:2" ht="14.25">
      <c r="A32" s="135"/>
      <c r="B32" s="135"/>
    </row>
    <row r="33" spans="1:2" ht="12.75">
      <c r="A33" s="133"/>
      <c r="B33" s="133"/>
    </row>
    <row r="34" spans="1:2" ht="15">
      <c r="A34" s="130"/>
      <c r="B34" s="133"/>
    </row>
    <row r="35" ht="15">
      <c r="A35" s="130"/>
    </row>
    <row r="36" ht="15">
      <c r="A36" s="130"/>
    </row>
    <row r="37" ht="15">
      <c r="A37" s="130"/>
    </row>
    <row r="38" ht="15">
      <c r="A38" s="130"/>
    </row>
    <row r="39" ht="15">
      <c r="A39" s="130"/>
    </row>
    <row r="40" ht="15">
      <c r="A40" s="130"/>
    </row>
  </sheetData>
  <sheetProtection password="CB5B" sheet="1"/>
  <mergeCells count="23">
    <mergeCell ref="A13:B13"/>
    <mergeCell ref="A14:B14"/>
    <mergeCell ref="A15:B15"/>
    <mergeCell ref="A7:B7"/>
    <mergeCell ref="A8:B8"/>
    <mergeCell ref="A9:B9"/>
    <mergeCell ref="A10:B10"/>
    <mergeCell ref="A11:B11"/>
    <mergeCell ref="A12:B12"/>
    <mergeCell ref="A1:B1"/>
    <mergeCell ref="A2:B2"/>
    <mergeCell ref="A3:B3"/>
    <mergeCell ref="A4:B4"/>
    <mergeCell ref="A5:B5"/>
    <mergeCell ref="A6:B6"/>
    <mergeCell ref="A16:B16"/>
    <mergeCell ref="A17:B17"/>
    <mergeCell ref="A25:B25"/>
    <mergeCell ref="A26:B26"/>
    <mergeCell ref="A30:B30"/>
    <mergeCell ref="A31:B31"/>
    <mergeCell ref="A29:B29"/>
    <mergeCell ref="A28:B28"/>
  </mergeCells>
  <hyperlinks>
    <hyperlink ref="A30" r:id="rId1" display="mailto:andi.haesel@fibl.org"/>
  </hyperlinks>
  <printOptions/>
  <pageMargins left="0.7086614173228347" right="0.7086614173228347" top="0.7874015748031497" bottom="0.7480314960629921" header="0.31496062992125984" footer="0.31496062992125984"/>
  <pageSetup horizontalDpi="600" verticalDpi="600" orientation="portrait" paperSize="9" r:id="rId3"/>
  <headerFooter>
    <oddHeader>&amp;CCalculs modélisés pour l'arboriculture fruitière haute-tige biologique 2016</oddHeader>
    <oddFooter>&amp;L&amp;G&amp;C© Copyright 2016 FiBL, Frick. Tous droits réservés.</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J63"/>
  <sheetViews>
    <sheetView showGridLines="0" zoomScale="120" zoomScaleNormal="120" zoomScalePageLayoutView="120" workbookViewId="0" topLeftCell="A1">
      <selection activeCell="E4" sqref="E4"/>
    </sheetView>
  </sheetViews>
  <sheetFormatPr defaultColWidth="11.421875" defaultRowHeight="12.75"/>
  <cols>
    <col min="1" max="1" width="20.7109375" style="0" customWidth="1"/>
    <col min="2" max="2" width="34.00390625" style="0" customWidth="1"/>
    <col min="3" max="3" width="19.140625" style="0" customWidth="1"/>
    <col min="4" max="4" width="6.7109375" style="0" bestFit="1" customWidth="1"/>
    <col min="5" max="5" width="9.140625" style="1" customWidth="1"/>
    <col min="6" max="6" width="7.421875" style="0" customWidth="1"/>
    <col min="7" max="7" width="10.57421875" style="0" customWidth="1"/>
  </cols>
  <sheetData>
    <row r="1" spans="1:5" ht="24.75" customHeight="1">
      <c r="A1" s="158" t="s">
        <v>144</v>
      </c>
      <c r="B1" s="158"/>
      <c r="C1" s="158"/>
      <c r="D1" s="158"/>
      <c r="E1" s="158"/>
    </row>
    <row r="2" spans="1:7" ht="13.5" thickBot="1">
      <c r="A2" s="16" t="str">
        <f>Réalisation!A2</f>
        <v>Variante mécanisée, contributions OPD / arbre, poires à cidres, Bio Bourgeon</v>
      </c>
      <c r="B2" s="16"/>
      <c r="C2" s="16"/>
      <c r="D2" s="16"/>
      <c r="E2" s="41"/>
      <c r="F2" s="16"/>
      <c r="G2" s="16"/>
    </row>
    <row r="3" spans="1:7" ht="15.75" customHeight="1" thickBot="1">
      <c r="A3" s="12"/>
      <c r="B3" s="12"/>
      <c r="C3" s="12" t="s">
        <v>32</v>
      </c>
      <c r="D3" s="12" t="s">
        <v>32</v>
      </c>
      <c r="E3" s="104" t="s">
        <v>84</v>
      </c>
      <c r="F3" s="16"/>
      <c r="G3" s="16"/>
    </row>
    <row r="4" spans="1:7" ht="13.5" customHeight="1" thickBot="1">
      <c r="A4" s="16" t="s">
        <v>37</v>
      </c>
      <c r="B4" s="16" t="s">
        <v>86</v>
      </c>
      <c r="C4" s="20" t="s">
        <v>33</v>
      </c>
      <c r="D4" s="20" t="s">
        <v>80</v>
      </c>
      <c r="E4" s="105">
        <v>65</v>
      </c>
      <c r="F4" s="16"/>
      <c r="G4" s="16"/>
    </row>
    <row r="5" spans="1:7" ht="13.5" customHeight="1" thickBot="1">
      <c r="A5" s="16"/>
      <c r="B5" s="16" t="s">
        <v>46</v>
      </c>
      <c r="C5" s="20" t="s">
        <v>34</v>
      </c>
      <c r="D5" s="20" t="s">
        <v>5</v>
      </c>
      <c r="E5" s="105">
        <v>12</v>
      </c>
      <c r="F5" s="16"/>
      <c r="G5" s="16"/>
    </row>
    <row r="6" spans="1:7" ht="12" customHeight="1" thickBot="1">
      <c r="A6" s="16"/>
      <c r="B6" s="16"/>
      <c r="C6" s="20"/>
      <c r="D6" s="20"/>
      <c r="E6" s="18"/>
      <c r="F6" s="16"/>
      <c r="G6" s="16"/>
    </row>
    <row r="7" spans="1:7" ht="13.5" customHeight="1" thickBot="1">
      <c r="A7" s="16" t="s">
        <v>85</v>
      </c>
      <c r="B7" s="16" t="s">
        <v>145</v>
      </c>
      <c r="C7" s="20" t="s">
        <v>33</v>
      </c>
      <c r="D7" s="20" t="s">
        <v>80</v>
      </c>
      <c r="E7" s="105">
        <v>10</v>
      </c>
      <c r="F7" s="16"/>
      <c r="G7" s="16"/>
    </row>
    <row r="8" spans="1:7" ht="13.5" customHeight="1" thickBot="1">
      <c r="A8" s="16"/>
      <c r="B8" s="16" t="s">
        <v>146</v>
      </c>
      <c r="C8" s="20" t="s">
        <v>33</v>
      </c>
      <c r="D8" s="20" t="s">
        <v>80</v>
      </c>
      <c r="E8" s="105">
        <v>2.5</v>
      </c>
      <c r="F8" s="16"/>
      <c r="G8" s="16"/>
    </row>
    <row r="9" spans="1:7" ht="13.5" customHeight="1" thickBot="1">
      <c r="A9" s="16"/>
      <c r="B9" s="16" t="s">
        <v>47</v>
      </c>
      <c r="C9" s="20" t="s">
        <v>33</v>
      </c>
      <c r="D9" s="20" t="s">
        <v>80</v>
      </c>
      <c r="E9" s="105">
        <v>0.5</v>
      </c>
      <c r="F9" s="16"/>
      <c r="G9" s="16"/>
    </row>
    <row r="10" spans="1:7" ht="12" customHeight="1" thickBot="1">
      <c r="A10" s="16"/>
      <c r="B10" s="16"/>
      <c r="C10" s="20"/>
      <c r="D10" s="20"/>
      <c r="E10" s="18"/>
      <c r="F10" s="16"/>
      <c r="G10" s="16"/>
    </row>
    <row r="11" spans="1:7" ht="13.5" customHeight="1" thickBot="1">
      <c r="A11" s="16" t="s">
        <v>38</v>
      </c>
      <c r="B11" s="16" t="s">
        <v>48</v>
      </c>
      <c r="C11" s="20" t="s">
        <v>2</v>
      </c>
      <c r="D11" s="20" t="s">
        <v>3</v>
      </c>
      <c r="E11" s="105">
        <v>16</v>
      </c>
      <c r="F11" s="16"/>
      <c r="G11" s="16"/>
    </row>
    <row r="12" spans="1:7" ht="12" customHeight="1" thickBot="1">
      <c r="A12" s="16"/>
      <c r="B12" s="16"/>
      <c r="C12" s="20"/>
      <c r="D12" s="20"/>
      <c r="E12" s="18"/>
      <c r="F12" s="16"/>
      <c r="G12" s="16"/>
    </row>
    <row r="13" spans="1:7" ht="13.5" customHeight="1" thickBot="1">
      <c r="A13" s="16" t="s">
        <v>39</v>
      </c>
      <c r="B13" s="16" t="s">
        <v>49</v>
      </c>
      <c r="C13" s="20" t="s">
        <v>34</v>
      </c>
      <c r="D13" s="20" t="s">
        <v>5</v>
      </c>
      <c r="E13" s="105">
        <v>0</v>
      </c>
      <c r="F13" s="16"/>
      <c r="G13" s="16"/>
    </row>
    <row r="14" spans="1:7" ht="13.5" customHeight="1" thickBot="1">
      <c r="A14" s="16"/>
      <c r="B14" s="16" t="s">
        <v>50</v>
      </c>
      <c r="C14" s="20" t="s">
        <v>34</v>
      </c>
      <c r="D14" s="20" t="s">
        <v>5</v>
      </c>
      <c r="E14" s="105">
        <v>0</v>
      </c>
      <c r="F14" s="16"/>
      <c r="G14" s="16"/>
    </row>
    <row r="15" spans="1:7" ht="12" customHeight="1" thickBot="1">
      <c r="A15" s="16"/>
      <c r="B15" s="16"/>
      <c r="C15" s="20"/>
      <c r="D15" s="20"/>
      <c r="E15" s="106"/>
      <c r="F15" s="16"/>
      <c r="G15" s="16"/>
    </row>
    <row r="16" spans="1:7" ht="13.5" customHeight="1" thickBot="1">
      <c r="A16" s="16"/>
      <c r="B16" s="16" t="s">
        <v>51</v>
      </c>
      <c r="C16" s="20" t="s">
        <v>33</v>
      </c>
      <c r="D16" s="20" t="s">
        <v>80</v>
      </c>
      <c r="E16" s="107">
        <v>60</v>
      </c>
      <c r="F16" s="16"/>
      <c r="G16" s="16"/>
    </row>
    <row r="17" spans="1:7" ht="12" customHeight="1" thickBot="1">
      <c r="A17" s="16"/>
      <c r="B17" s="16"/>
      <c r="C17" s="20"/>
      <c r="D17" s="20"/>
      <c r="E17" s="106"/>
      <c r="F17" s="16"/>
      <c r="G17" s="16"/>
    </row>
    <row r="18" spans="1:7" ht="13.5" customHeight="1" thickBot="1">
      <c r="A18" s="16" t="s">
        <v>40</v>
      </c>
      <c r="B18" s="16" t="s">
        <v>52</v>
      </c>
      <c r="C18" s="20" t="s">
        <v>6</v>
      </c>
      <c r="D18" s="20" t="s">
        <v>81</v>
      </c>
      <c r="E18" s="108">
        <v>80</v>
      </c>
      <c r="F18" s="16"/>
      <c r="G18" s="16"/>
    </row>
    <row r="19" spans="1:7" ht="13.5" customHeight="1" thickBot="1">
      <c r="A19" s="16"/>
      <c r="B19" s="16" t="s">
        <v>53</v>
      </c>
      <c r="C19" s="20" t="s">
        <v>35</v>
      </c>
      <c r="D19" s="93" t="s">
        <v>161</v>
      </c>
      <c r="E19" s="108">
        <v>500</v>
      </c>
      <c r="F19" s="16"/>
      <c r="G19" s="16"/>
    </row>
    <row r="20" spans="1:7" ht="13.5" customHeight="1" thickBot="1">
      <c r="A20" s="16"/>
      <c r="B20" s="16" t="s">
        <v>54</v>
      </c>
      <c r="C20" s="20" t="s">
        <v>35</v>
      </c>
      <c r="D20" s="93" t="s">
        <v>161</v>
      </c>
      <c r="E20" s="109">
        <v>1000</v>
      </c>
      <c r="F20" s="16"/>
      <c r="G20" s="16"/>
    </row>
    <row r="21" spans="1:7" ht="13.5" customHeight="1" thickBot="1">
      <c r="A21" s="16"/>
      <c r="B21" s="16" t="s">
        <v>55</v>
      </c>
      <c r="C21" s="20" t="s">
        <v>35</v>
      </c>
      <c r="D21" s="93" t="s">
        <v>161</v>
      </c>
      <c r="E21" s="105">
        <v>500</v>
      </c>
      <c r="F21" s="16"/>
      <c r="G21" s="46"/>
    </row>
    <row r="22" spans="1:7" ht="13.5" customHeight="1" thickBot="1">
      <c r="A22" s="16"/>
      <c r="B22" s="110" t="s">
        <v>56</v>
      </c>
      <c r="C22" s="20" t="s">
        <v>35</v>
      </c>
      <c r="D22" s="93" t="s">
        <v>161</v>
      </c>
      <c r="E22" s="105">
        <v>48</v>
      </c>
      <c r="F22" s="16"/>
      <c r="G22" s="46"/>
    </row>
    <row r="23" spans="1:7" ht="13.5" customHeight="1">
      <c r="A23" s="16"/>
      <c r="B23" s="110" t="s">
        <v>57</v>
      </c>
      <c r="C23" s="111" t="s">
        <v>9</v>
      </c>
      <c r="D23" s="112" t="s">
        <v>147</v>
      </c>
      <c r="E23" s="113">
        <v>0.98</v>
      </c>
      <c r="F23" s="16"/>
      <c r="G23" s="114"/>
    </row>
    <row r="24" spans="1:7" ht="12" customHeight="1" thickBot="1">
      <c r="A24" s="16"/>
      <c r="B24" s="16"/>
      <c r="C24" s="16"/>
      <c r="D24" s="16"/>
      <c r="E24" s="41"/>
      <c r="F24" s="16"/>
      <c r="G24" s="114"/>
    </row>
    <row r="25" spans="1:7" ht="13.5" customHeight="1" thickBot="1">
      <c r="A25" s="16" t="s">
        <v>41</v>
      </c>
      <c r="B25" s="16" t="s">
        <v>58</v>
      </c>
      <c r="C25" s="20" t="s">
        <v>36</v>
      </c>
      <c r="D25" s="20" t="s">
        <v>4</v>
      </c>
      <c r="E25" s="105">
        <v>28</v>
      </c>
      <c r="F25" s="16"/>
      <c r="G25" s="46"/>
    </row>
    <row r="26" spans="1:7" ht="13.5" customHeight="1" thickBot="1">
      <c r="A26" s="16"/>
      <c r="B26" s="16" t="s">
        <v>142</v>
      </c>
      <c r="C26" s="20" t="s">
        <v>36</v>
      </c>
      <c r="D26" s="20" t="s">
        <v>4</v>
      </c>
      <c r="E26" s="105">
        <v>17</v>
      </c>
      <c r="F26" s="16"/>
      <c r="G26" s="46"/>
    </row>
    <row r="27" spans="1:7" ht="13.5" customHeight="1" thickBot="1">
      <c r="A27" s="16"/>
      <c r="B27" s="16" t="s">
        <v>148</v>
      </c>
      <c r="C27" s="20" t="s">
        <v>36</v>
      </c>
      <c r="D27" s="20" t="s">
        <v>4</v>
      </c>
      <c r="E27" s="105">
        <v>12</v>
      </c>
      <c r="F27" s="16"/>
      <c r="G27" s="16"/>
    </row>
    <row r="28" spans="1:7" ht="13.5" customHeight="1" thickBot="1">
      <c r="A28" s="16"/>
      <c r="B28" s="16" t="s">
        <v>59</v>
      </c>
      <c r="C28" s="20" t="s">
        <v>36</v>
      </c>
      <c r="D28" s="20" t="s">
        <v>4</v>
      </c>
      <c r="E28" s="105">
        <v>15</v>
      </c>
      <c r="F28" s="16"/>
      <c r="G28" s="16"/>
    </row>
    <row r="29" spans="1:7" ht="13.5" customHeight="1" thickBot="1">
      <c r="A29" s="16"/>
      <c r="B29" s="16" t="s">
        <v>60</v>
      </c>
      <c r="C29" s="20" t="s">
        <v>162</v>
      </c>
      <c r="D29" s="20" t="s">
        <v>80</v>
      </c>
      <c r="E29" s="105">
        <v>1</v>
      </c>
      <c r="F29" s="16"/>
      <c r="G29" s="16"/>
    </row>
    <row r="30" spans="1:7" ht="13.5" customHeight="1" thickBot="1">
      <c r="A30" s="16"/>
      <c r="B30" s="16" t="s">
        <v>61</v>
      </c>
      <c r="C30" s="20" t="s">
        <v>36</v>
      </c>
      <c r="D30" s="20" t="s">
        <v>4</v>
      </c>
      <c r="E30" s="105">
        <v>25</v>
      </c>
      <c r="F30" s="16"/>
      <c r="G30" s="16"/>
    </row>
    <row r="31" spans="1:7" ht="13.5" customHeight="1" thickBot="1">
      <c r="A31" s="16"/>
      <c r="B31" s="16" t="s">
        <v>62</v>
      </c>
      <c r="C31" s="20" t="s">
        <v>36</v>
      </c>
      <c r="D31" s="20" t="s">
        <v>4</v>
      </c>
      <c r="E31" s="105">
        <v>47</v>
      </c>
      <c r="F31" s="16"/>
      <c r="G31" s="16"/>
    </row>
    <row r="32" spans="1:7" ht="13.5" customHeight="1" thickBot="1">
      <c r="A32" s="16"/>
      <c r="B32" s="16" t="s">
        <v>63</v>
      </c>
      <c r="C32" s="20" t="s">
        <v>36</v>
      </c>
      <c r="D32" s="20" t="s">
        <v>4</v>
      </c>
      <c r="E32" s="108">
        <v>20</v>
      </c>
      <c r="F32" s="16"/>
      <c r="G32" s="16"/>
    </row>
    <row r="33" spans="1:7" ht="13.5" customHeight="1" thickBot="1">
      <c r="A33" s="16"/>
      <c r="B33" s="16" t="s">
        <v>143</v>
      </c>
      <c r="C33" s="20" t="s">
        <v>36</v>
      </c>
      <c r="D33" s="20" t="s">
        <v>4</v>
      </c>
      <c r="E33" s="105">
        <v>25</v>
      </c>
      <c r="F33" s="16"/>
      <c r="G33" s="16"/>
    </row>
    <row r="34" spans="1:7" ht="13.5" customHeight="1" thickBot="1">
      <c r="A34" s="16"/>
      <c r="B34" s="16" t="s">
        <v>64</v>
      </c>
      <c r="C34" s="20" t="s">
        <v>36</v>
      </c>
      <c r="D34" s="20" t="s">
        <v>4</v>
      </c>
      <c r="E34" s="105">
        <v>15</v>
      </c>
      <c r="F34" s="16"/>
      <c r="G34" s="16"/>
    </row>
    <row r="35" spans="1:7" ht="13.5" customHeight="1" thickBot="1">
      <c r="A35" s="16"/>
      <c r="B35" s="16" t="s">
        <v>65</v>
      </c>
      <c r="C35" s="20" t="s">
        <v>36</v>
      </c>
      <c r="D35" s="20" t="s">
        <v>4</v>
      </c>
      <c r="E35" s="105">
        <v>80</v>
      </c>
      <c r="F35" s="16"/>
      <c r="G35" s="16"/>
    </row>
    <row r="36" spans="1:7" ht="13.5" customHeight="1" thickBot="1">
      <c r="A36" s="16"/>
      <c r="B36" s="16" t="s">
        <v>66</v>
      </c>
      <c r="C36" s="20" t="s">
        <v>36</v>
      </c>
      <c r="D36" s="20" t="s">
        <v>4</v>
      </c>
      <c r="E36" s="105">
        <v>27</v>
      </c>
      <c r="F36" s="16"/>
      <c r="G36" s="16"/>
    </row>
    <row r="37" spans="1:7" ht="9" customHeight="1" thickBot="1">
      <c r="A37" s="16"/>
      <c r="B37" s="16"/>
      <c r="C37" s="115"/>
      <c r="D37" s="115"/>
      <c r="E37" s="41"/>
      <c r="F37" s="16"/>
      <c r="G37" s="16"/>
    </row>
    <row r="38" spans="1:7" ht="13.5" customHeight="1" thickBot="1">
      <c r="A38" s="16" t="s">
        <v>42</v>
      </c>
      <c r="B38" s="46" t="s">
        <v>67</v>
      </c>
      <c r="C38" s="20" t="s">
        <v>36</v>
      </c>
      <c r="D38" s="20" t="s">
        <v>4</v>
      </c>
      <c r="E38" s="105">
        <v>35</v>
      </c>
      <c r="F38" s="16"/>
      <c r="G38" s="116"/>
    </row>
    <row r="39" spans="1:7" ht="9" customHeight="1" thickBot="1">
      <c r="A39" s="16"/>
      <c r="B39" s="16"/>
      <c r="C39" s="16"/>
      <c r="D39" s="16"/>
      <c r="E39" s="41"/>
      <c r="F39" s="16"/>
      <c r="G39" s="16"/>
    </row>
    <row r="40" spans="1:7" ht="13.5" customHeight="1" thickBot="1">
      <c r="A40" s="16" t="s">
        <v>43</v>
      </c>
      <c r="B40" s="16" t="s">
        <v>68</v>
      </c>
      <c r="C40" s="20" t="s">
        <v>35</v>
      </c>
      <c r="D40" s="93" t="s">
        <v>161</v>
      </c>
      <c r="E40" s="108">
        <v>22</v>
      </c>
      <c r="F40" s="16"/>
      <c r="G40" s="16"/>
    </row>
    <row r="41" spans="1:7" ht="13.5" customHeight="1" thickBot="1">
      <c r="A41" s="16"/>
      <c r="B41" s="16"/>
      <c r="C41" s="111"/>
      <c r="D41" s="111"/>
      <c r="E41" s="18"/>
      <c r="F41" s="16"/>
      <c r="G41" s="16"/>
    </row>
    <row r="42" spans="1:7" ht="13.5" customHeight="1" thickBot="1">
      <c r="A42" s="45" t="s">
        <v>44</v>
      </c>
      <c r="B42" s="45"/>
      <c r="C42" s="29" t="s">
        <v>70</v>
      </c>
      <c r="D42" s="29" t="s">
        <v>7</v>
      </c>
      <c r="E42" s="105">
        <v>700</v>
      </c>
      <c r="F42" s="16"/>
      <c r="G42" s="16"/>
    </row>
    <row r="43" spans="1:7" ht="13.5" customHeight="1" thickBot="1">
      <c r="A43" s="16"/>
      <c r="B43" s="16"/>
      <c r="C43" s="29"/>
      <c r="D43" s="29"/>
      <c r="E43" s="18"/>
      <c r="F43" s="16"/>
      <c r="G43" s="16"/>
    </row>
    <row r="44" spans="1:7" ht="13.5" customHeight="1" thickBot="1">
      <c r="A44" s="16" t="s">
        <v>45</v>
      </c>
      <c r="B44" s="16" t="s">
        <v>69</v>
      </c>
      <c r="C44" s="20" t="s">
        <v>82</v>
      </c>
      <c r="D44" s="20" t="s">
        <v>4</v>
      </c>
      <c r="E44" s="105">
        <v>32</v>
      </c>
      <c r="F44" s="16"/>
      <c r="G44" s="16"/>
    </row>
    <row r="45" spans="1:7" ht="9" customHeight="1" thickBot="1">
      <c r="A45" s="16"/>
      <c r="B45" s="16"/>
      <c r="C45" s="16"/>
      <c r="D45" s="16"/>
      <c r="E45" s="41"/>
      <c r="F45" s="16"/>
      <c r="G45" s="16"/>
    </row>
    <row r="46" spans="1:7" ht="13.5" customHeight="1" thickBot="1">
      <c r="A46" s="160" t="s">
        <v>167</v>
      </c>
      <c r="B46" s="161"/>
      <c r="C46" s="20" t="s">
        <v>34</v>
      </c>
      <c r="D46" s="20" t="s">
        <v>5</v>
      </c>
      <c r="E46" s="105">
        <v>0.3</v>
      </c>
      <c r="F46" s="16"/>
      <c r="G46" s="16"/>
    </row>
    <row r="47" spans="1:7" ht="13.5" customHeight="1" thickBot="1">
      <c r="A47" s="160" t="s">
        <v>122</v>
      </c>
      <c r="B47" s="161"/>
      <c r="C47" s="20"/>
      <c r="D47" s="20"/>
      <c r="E47" s="20"/>
      <c r="F47" s="16"/>
      <c r="G47" s="16"/>
    </row>
    <row r="48" spans="1:7" ht="7.5" customHeight="1" thickBot="1">
      <c r="A48" s="16"/>
      <c r="B48" s="16"/>
      <c r="C48" s="16"/>
      <c r="D48" s="16"/>
      <c r="E48" s="41"/>
      <c r="F48" s="16"/>
      <c r="G48" s="16"/>
    </row>
    <row r="49" spans="1:7" ht="13.5" customHeight="1" thickBot="1">
      <c r="A49" s="160" t="s">
        <v>73</v>
      </c>
      <c r="B49" s="161"/>
      <c r="C49" s="29" t="s">
        <v>166</v>
      </c>
      <c r="D49" s="29" t="s">
        <v>7</v>
      </c>
      <c r="E49" s="117">
        <v>0</v>
      </c>
      <c r="F49" s="16"/>
      <c r="G49" s="16"/>
    </row>
    <row r="50" spans="1:7" ht="13.5" customHeight="1" thickBot="1">
      <c r="A50" s="16" t="s">
        <v>74</v>
      </c>
      <c r="B50" s="16"/>
      <c r="C50" s="20" t="s">
        <v>163</v>
      </c>
      <c r="D50" s="20">
        <v>1</v>
      </c>
      <c r="E50" s="118">
        <v>200</v>
      </c>
      <c r="F50" s="16"/>
      <c r="G50" s="16"/>
    </row>
    <row r="51" spans="1:7" ht="13.5" customHeight="1" thickBot="1">
      <c r="A51" s="16"/>
      <c r="B51" s="16"/>
      <c r="C51" s="16"/>
      <c r="D51" s="16"/>
      <c r="E51" s="41"/>
      <c r="F51" s="119" t="s">
        <v>78</v>
      </c>
      <c r="G51" s="143" t="s">
        <v>79</v>
      </c>
    </row>
    <row r="52" spans="1:7" ht="13.5" customHeight="1" thickBot="1">
      <c r="A52" s="16" t="s">
        <v>75</v>
      </c>
      <c r="B52" s="16" t="s">
        <v>168</v>
      </c>
      <c r="C52" s="20" t="s">
        <v>164</v>
      </c>
      <c r="D52" s="120" t="s">
        <v>71</v>
      </c>
      <c r="E52" s="105">
        <v>0</v>
      </c>
      <c r="F52" s="121">
        <v>2</v>
      </c>
      <c r="G52" s="122">
        <f>E52*F52</f>
        <v>0</v>
      </c>
    </row>
    <row r="53" spans="1:7" ht="13.5" customHeight="1" thickBot="1">
      <c r="A53" s="16"/>
      <c r="B53" s="16" t="s">
        <v>169</v>
      </c>
      <c r="C53" s="20" t="s">
        <v>164</v>
      </c>
      <c r="D53" s="120" t="s">
        <v>71</v>
      </c>
      <c r="E53" s="105">
        <v>10</v>
      </c>
      <c r="F53" s="121">
        <v>3</v>
      </c>
      <c r="G53" s="122">
        <f>E53*F53</f>
        <v>30</v>
      </c>
    </row>
    <row r="54" spans="1:7" ht="13.5" customHeight="1" thickBot="1">
      <c r="A54" s="16"/>
      <c r="B54" s="16" t="s">
        <v>170</v>
      </c>
      <c r="C54" s="20" t="s">
        <v>164</v>
      </c>
      <c r="D54" s="120" t="s">
        <v>71</v>
      </c>
      <c r="E54" s="105">
        <v>35</v>
      </c>
      <c r="F54" s="121">
        <v>5</v>
      </c>
      <c r="G54" s="122">
        <f>E54*F54</f>
        <v>175</v>
      </c>
    </row>
    <row r="55" spans="1:7" ht="13.5" customHeight="1" thickBot="1">
      <c r="A55" s="16"/>
      <c r="B55" s="16" t="s">
        <v>171</v>
      </c>
      <c r="C55" s="20" t="s">
        <v>164</v>
      </c>
      <c r="D55" s="120" t="s">
        <v>71</v>
      </c>
      <c r="E55" s="105">
        <v>150</v>
      </c>
      <c r="F55" s="121">
        <v>5</v>
      </c>
      <c r="G55" s="122">
        <f>E55*F55</f>
        <v>750</v>
      </c>
    </row>
    <row r="56" spans="1:7" ht="13.5" customHeight="1" thickBot="1">
      <c r="A56" s="16"/>
      <c r="B56" s="16" t="s">
        <v>76</v>
      </c>
      <c r="C56" s="20" t="s">
        <v>164</v>
      </c>
      <c r="D56" s="120" t="s">
        <v>71</v>
      </c>
      <c r="E56" s="123">
        <f>G56/F56</f>
        <v>63.666666666666664</v>
      </c>
      <c r="F56" s="124">
        <f>SUM(F52:F55)</f>
        <v>15</v>
      </c>
      <c r="G56" s="125">
        <f>SUM(G52:G55)</f>
        <v>955</v>
      </c>
    </row>
    <row r="57" spans="1:7" ht="13.5" customHeight="1" thickBot="1">
      <c r="A57" s="16"/>
      <c r="B57" s="16" t="s">
        <v>77</v>
      </c>
      <c r="C57" s="20" t="s">
        <v>165</v>
      </c>
      <c r="D57" s="120" t="s">
        <v>8</v>
      </c>
      <c r="E57" s="105">
        <v>25000</v>
      </c>
      <c r="F57" s="16"/>
      <c r="G57" s="16"/>
    </row>
    <row r="58" ht="11.25" customHeight="1"/>
    <row r="59" spans="1:7" ht="14.25" customHeight="1">
      <c r="A59" s="159" t="s">
        <v>72</v>
      </c>
      <c r="B59" s="159"/>
      <c r="C59" s="159"/>
      <c r="D59" s="159"/>
      <c r="E59" s="159"/>
      <c r="F59" s="159"/>
      <c r="G59" s="159"/>
    </row>
    <row r="60" ht="12.75">
      <c r="J60" s="2"/>
    </row>
    <row r="61" ht="12.75">
      <c r="J61" s="2"/>
    </row>
    <row r="62" ht="12.75">
      <c r="J62" s="2"/>
    </row>
    <row r="63" spans="8:10" ht="12.75">
      <c r="H63" s="10"/>
      <c r="J63" s="4"/>
    </row>
  </sheetData>
  <sheetProtection password="CB5B" sheet="1"/>
  <protectedRanges>
    <protectedRange sqref="E4:E5 E7:E9 E11 E13:E14 E16 E18:E23 E25:E36 E38 E40 E42 E44 E46 E49:E50 E52:E55 E57" name="Bereich1"/>
  </protectedRanges>
  <mergeCells count="5">
    <mergeCell ref="A1:E1"/>
    <mergeCell ref="A59:G59"/>
    <mergeCell ref="A46:B46"/>
    <mergeCell ref="A47:B47"/>
    <mergeCell ref="A49:B49"/>
  </mergeCells>
  <printOptions/>
  <pageMargins left="0.7086614173228347" right="0.7086614173228347" top="0.7874015748031497" bottom="0.7480314960629921" header="0.31496062992125984" footer="0.31496062992125984"/>
  <pageSetup fitToHeight="1" fitToWidth="1" horizontalDpi="600" verticalDpi="600" orientation="portrait" paperSize="9" scale="83" r:id="rId2"/>
  <headerFooter>
    <oddHeader>&amp;CCalculs modélisés pour l'arboriculture fruitière haute-tige biologique 2016</oddHeader>
    <oddFooter>&amp;L&amp;G&amp;C© Copyright 2016 FiBL, Frick. Tous droits réservés.</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showGridLines="0" zoomScale="120" zoomScaleNormal="120" zoomScalePageLayoutView="120" workbookViewId="0" topLeftCell="A1">
      <selection activeCell="C4" sqref="C4"/>
    </sheetView>
  </sheetViews>
  <sheetFormatPr defaultColWidth="11.421875" defaultRowHeight="12.75"/>
  <cols>
    <col min="1" max="1" width="21.00390625" style="0" customWidth="1"/>
    <col min="2" max="2" width="37.7109375" style="0" customWidth="1"/>
    <col min="3" max="3" width="8.00390625" style="0" customWidth="1"/>
    <col min="4" max="4" width="11.421875" style="1" customWidth="1"/>
    <col min="5" max="5" width="11.421875" style="2" customWidth="1"/>
  </cols>
  <sheetData>
    <row r="1" spans="1:5" s="16" customFormat="1" ht="24.75" customHeight="1">
      <c r="A1" s="158" t="str">
        <f>CONCATENATE("Coût de réalisation d'un verger avec ",C4," arbres/ha")</f>
        <v>Coût de réalisation d'un verger avec 100 arbres/ha</v>
      </c>
      <c r="B1" s="158"/>
      <c r="C1" s="158"/>
      <c r="D1" s="158"/>
      <c r="E1" s="158"/>
    </row>
    <row r="2" spans="1:5" ht="13.5" thickBot="1">
      <c r="A2" s="11" t="s">
        <v>31</v>
      </c>
      <c r="B2" s="11"/>
      <c r="C2" s="11"/>
      <c r="D2" s="11"/>
      <c r="E2" s="11"/>
    </row>
    <row r="3" spans="1:5" ht="15" customHeight="1" thickBot="1">
      <c r="A3" s="12"/>
      <c r="B3" s="12"/>
      <c r="C3" s="13" t="s">
        <v>83</v>
      </c>
      <c r="D3" s="14" t="s">
        <v>84</v>
      </c>
      <c r="E3" s="15" t="s">
        <v>7</v>
      </c>
    </row>
    <row r="4" spans="1:5" ht="13.5" thickBot="1">
      <c r="A4" s="16" t="s">
        <v>37</v>
      </c>
      <c r="B4" s="16" t="s">
        <v>86</v>
      </c>
      <c r="C4" s="17">
        <v>100</v>
      </c>
      <c r="D4" s="18">
        <f>Coûts!$E$4</f>
        <v>65</v>
      </c>
      <c r="E4" s="19">
        <f>C4*D4</f>
        <v>6500</v>
      </c>
    </row>
    <row r="5" spans="1:5" ht="13.5" thickBot="1">
      <c r="A5" s="16"/>
      <c r="B5" s="16"/>
      <c r="C5" s="20"/>
      <c r="D5" s="18"/>
      <c r="E5" s="19"/>
    </row>
    <row r="6" spans="1:5" ht="13.5" thickBot="1">
      <c r="A6" s="16" t="s">
        <v>85</v>
      </c>
      <c r="B6" s="16" t="s">
        <v>87</v>
      </c>
      <c r="C6" s="17">
        <v>100</v>
      </c>
      <c r="D6" s="18">
        <f>Coûts!$E$7</f>
        <v>10</v>
      </c>
      <c r="E6" s="19">
        <f>C6*D6</f>
        <v>1000</v>
      </c>
    </row>
    <row r="7" spans="1:5" ht="13.5" thickBot="1">
      <c r="A7" s="16"/>
      <c r="B7" s="16" t="s">
        <v>88</v>
      </c>
      <c r="C7" s="17">
        <v>100</v>
      </c>
      <c r="D7" s="18">
        <f>Coûts!$E$8</f>
        <v>2.5</v>
      </c>
      <c r="E7" s="19">
        <f>C7*D7</f>
        <v>250</v>
      </c>
    </row>
    <row r="8" spans="1:5" ht="13.5" thickBot="1">
      <c r="A8" s="16"/>
      <c r="B8" s="16" t="s">
        <v>47</v>
      </c>
      <c r="C8" s="17">
        <v>100</v>
      </c>
      <c r="D8" s="18">
        <f>Coûts!$E$9</f>
        <v>0.5</v>
      </c>
      <c r="E8" s="19">
        <f>C8*D8</f>
        <v>50</v>
      </c>
    </row>
    <row r="9" spans="1:5" ht="13.5" thickBot="1">
      <c r="A9" s="16"/>
      <c r="B9" s="16"/>
      <c r="C9" s="20"/>
      <c r="D9" s="18"/>
      <c r="E9" s="19"/>
    </row>
    <row r="10" spans="1:5" ht="13.5" thickBot="1">
      <c r="A10" s="16" t="s">
        <v>40</v>
      </c>
      <c r="B10" s="16" t="str">
        <f>CONCATENATE("Semis prairie permeanente (",Coûts!$D$5,")")</f>
        <v>Semis prairie permeanente (kg)</v>
      </c>
      <c r="C10" s="21">
        <v>35</v>
      </c>
      <c r="D10" s="18">
        <f>Coûts!$E$5</f>
        <v>12</v>
      </c>
      <c r="E10" s="19">
        <f>C10*D10</f>
        <v>420</v>
      </c>
    </row>
    <row r="11" spans="1:5" ht="13.5" thickBot="1">
      <c r="A11" s="16"/>
      <c r="B11" s="16" t="s">
        <v>52</v>
      </c>
      <c r="C11" s="20"/>
      <c r="D11" s="18"/>
      <c r="E11" s="19">
        <f>Coûts!$E$18</f>
        <v>80</v>
      </c>
    </row>
    <row r="12" spans="1:5" ht="13.5" thickBot="1">
      <c r="A12" s="16"/>
      <c r="B12" s="16" t="s">
        <v>89</v>
      </c>
      <c r="C12" s="20"/>
      <c r="D12" s="18"/>
      <c r="E12" s="19">
        <f>Coûts!$E$19</f>
        <v>500</v>
      </c>
    </row>
    <row r="13" spans="1:5" ht="13.5" thickBot="1">
      <c r="A13" s="16"/>
      <c r="B13" s="16" t="s">
        <v>172</v>
      </c>
      <c r="C13" s="22"/>
      <c r="D13" s="23"/>
      <c r="E13" s="19">
        <f>Coûts!$E$20</f>
        <v>1000</v>
      </c>
    </row>
    <row r="14" spans="1:5" ht="13.5" thickBot="1">
      <c r="A14" s="16"/>
      <c r="B14" s="16" t="s">
        <v>90</v>
      </c>
      <c r="C14" s="24">
        <v>5</v>
      </c>
      <c r="D14" s="18">
        <f>Coûts!$E$16</f>
        <v>60</v>
      </c>
      <c r="E14" s="25">
        <f>C14*D14</f>
        <v>300</v>
      </c>
    </row>
    <row r="15" spans="1:5" ht="15" customHeight="1" thickBot="1">
      <c r="A15" s="26" t="s">
        <v>91</v>
      </c>
      <c r="B15" s="26"/>
      <c r="C15" s="26"/>
      <c r="D15" s="27"/>
      <c r="E15" s="28">
        <f>SUM(E4:E14)</f>
        <v>10100</v>
      </c>
    </row>
    <row r="16" spans="1:5" ht="13.5" thickBot="1">
      <c r="A16" s="16"/>
      <c r="B16" s="16"/>
      <c r="C16" s="29"/>
      <c r="D16" s="30"/>
      <c r="E16" s="31"/>
    </row>
    <row r="17" spans="1:5" ht="13.5" thickBot="1">
      <c r="A17" s="16" t="s">
        <v>41</v>
      </c>
      <c r="B17" s="16" t="s">
        <v>58</v>
      </c>
      <c r="C17" s="21">
        <v>5</v>
      </c>
      <c r="D17" s="18">
        <f>Coûts!$E$25</f>
        <v>28</v>
      </c>
      <c r="E17" s="19">
        <f>C17*D17</f>
        <v>140</v>
      </c>
    </row>
    <row r="18" spans="1:5" ht="13.5" thickBot="1">
      <c r="A18" s="16"/>
      <c r="B18" s="16" t="s">
        <v>148</v>
      </c>
      <c r="C18" s="21">
        <v>2</v>
      </c>
      <c r="D18" s="18">
        <f>Coûts!$E$27</f>
        <v>12</v>
      </c>
      <c r="E18" s="19">
        <f>C18*D18</f>
        <v>24</v>
      </c>
    </row>
    <row r="19" spans="1:5" ht="13.5" thickBot="1">
      <c r="A19" s="16"/>
      <c r="B19" s="16" t="s">
        <v>59</v>
      </c>
      <c r="C19" s="21">
        <v>10</v>
      </c>
      <c r="D19" s="18">
        <f>Coûts!$E$28</f>
        <v>15</v>
      </c>
      <c r="E19" s="19">
        <f>C19*D19</f>
        <v>150</v>
      </c>
    </row>
    <row r="20" spans="1:5" ht="13.5" thickBot="1">
      <c r="A20" s="16"/>
      <c r="B20" s="16" t="s">
        <v>92</v>
      </c>
      <c r="C20" s="21">
        <v>100</v>
      </c>
      <c r="D20" s="18">
        <f>Coûts!$E$29</f>
        <v>1</v>
      </c>
      <c r="E20" s="19">
        <f>C20*D20</f>
        <v>100</v>
      </c>
    </row>
    <row r="21" spans="1:5" ht="13.5" thickBot="1">
      <c r="A21" s="16" t="s">
        <v>42</v>
      </c>
      <c r="B21" s="46" t="s">
        <v>67</v>
      </c>
      <c r="C21" s="21">
        <v>25</v>
      </c>
      <c r="D21" s="18">
        <f>Coûts!$E$38</f>
        <v>35</v>
      </c>
      <c r="E21" s="19">
        <f>C21*D21</f>
        <v>875</v>
      </c>
    </row>
    <row r="22" spans="1:5" ht="13.5" thickBot="1">
      <c r="A22" s="16" t="s">
        <v>43</v>
      </c>
      <c r="B22" s="16"/>
      <c r="C22" s="20"/>
      <c r="D22" s="18"/>
      <c r="E22" s="19">
        <f>Coûts!$E$40</f>
        <v>22</v>
      </c>
    </row>
    <row r="23" spans="1:5" ht="13.5" thickBot="1">
      <c r="A23" s="16"/>
      <c r="B23" s="16"/>
      <c r="C23" s="22"/>
      <c r="D23" s="18"/>
      <c r="E23" s="19"/>
    </row>
    <row r="24" spans="1:5" ht="15" customHeight="1" thickBot="1">
      <c r="A24" s="32" t="s">
        <v>93</v>
      </c>
      <c r="B24" s="33"/>
      <c r="C24" s="20"/>
      <c r="D24" s="18"/>
      <c r="E24" s="19">
        <f>SUM(E17:E22)</f>
        <v>1311</v>
      </c>
    </row>
    <row r="25" spans="1:5" ht="13.5" thickBot="1">
      <c r="A25" s="16"/>
      <c r="B25" s="16"/>
      <c r="C25" s="29"/>
      <c r="D25" s="18"/>
      <c r="E25" s="19"/>
    </row>
    <row r="26" spans="1:5" ht="13.5" thickBot="1">
      <c r="A26" s="16" t="s">
        <v>94</v>
      </c>
      <c r="B26" s="16" t="s">
        <v>58</v>
      </c>
      <c r="C26" s="21">
        <v>5</v>
      </c>
      <c r="D26" s="18">
        <f>Coûts!$E$44</f>
        <v>32</v>
      </c>
      <c r="E26" s="19">
        <f aca="true" t="shared" si="0" ref="E26:E33">C26*D26</f>
        <v>160</v>
      </c>
    </row>
    <row r="27" spans="1:5" ht="13.5" thickBot="1">
      <c r="A27" s="16"/>
      <c r="B27" s="16" t="s">
        <v>46</v>
      </c>
      <c r="C27" s="21">
        <v>2</v>
      </c>
      <c r="D27" s="18">
        <f>Coûts!$E$44</f>
        <v>32</v>
      </c>
      <c r="E27" s="19">
        <f t="shared" si="0"/>
        <v>64</v>
      </c>
    </row>
    <row r="28" spans="1:5" ht="13.5" thickBot="1">
      <c r="A28" s="16"/>
      <c r="B28" s="16" t="s">
        <v>52</v>
      </c>
      <c r="C28" s="21">
        <v>0.5</v>
      </c>
      <c r="D28" s="18">
        <f>Coûts!$E$44</f>
        <v>32</v>
      </c>
      <c r="E28" s="19">
        <f t="shared" si="0"/>
        <v>16</v>
      </c>
    </row>
    <row r="29" spans="1:5" ht="13.5" thickBot="1">
      <c r="A29" s="16"/>
      <c r="B29" s="16" t="s">
        <v>95</v>
      </c>
      <c r="C29" s="21">
        <v>10</v>
      </c>
      <c r="D29" s="18">
        <f>Coûts!$E$44</f>
        <v>32</v>
      </c>
      <c r="E29" s="34">
        <f>C29*D29</f>
        <v>320</v>
      </c>
    </row>
    <row r="30" spans="1:5" ht="13.5" thickBot="1">
      <c r="A30" s="16"/>
      <c r="B30" s="16" t="s">
        <v>96</v>
      </c>
      <c r="C30" s="21">
        <v>10</v>
      </c>
      <c r="D30" s="18">
        <f>Coûts!$E$44</f>
        <v>32</v>
      </c>
      <c r="E30" s="19">
        <f t="shared" si="0"/>
        <v>320</v>
      </c>
    </row>
    <row r="31" spans="1:5" ht="13.5" thickBot="1">
      <c r="A31" s="16"/>
      <c r="B31" s="16" t="s">
        <v>98</v>
      </c>
      <c r="C31" s="21">
        <v>30</v>
      </c>
      <c r="D31" s="18">
        <f>Coûts!$E$44</f>
        <v>32</v>
      </c>
      <c r="E31" s="19">
        <f t="shared" si="0"/>
        <v>960</v>
      </c>
    </row>
    <row r="32" spans="1:5" ht="13.5" thickBot="1">
      <c r="A32" s="16"/>
      <c r="B32" s="16" t="s">
        <v>97</v>
      </c>
      <c r="C32" s="21">
        <v>5</v>
      </c>
      <c r="D32" s="18">
        <f>Coûts!$E$44</f>
        <v>32</v>
      </c>
      <c r="E32" s="19">
        <f t="shared" si="0"/>
        <v>160</v>
      </c>
    </row>
    <row r="33" spans="1:5" ht="13.5" thickBot="1">
      <c r="A33" s="16"/>
      <c r="B33" s="16" t="s">
        <v>99</v>
      </c>
      <c r="C33" s="24">
        <v>20</v>
      </c>
      <c r="D33" s="18">
        <f>Coûts!$E$44</f>
        <v>32</v>
      </c>
      <c r="E33" s="19">
        <f t="shared" si="0"/>
        <v>640</v>
      </c>
    </row>
    <row r="34" spans="1:5" ht="15" customHeight="1" thickBot="1">
      <c r="A34" s="20" t="s">
        <v>100</v>
      </c>
      <c r="B34" s="20"/>
      <c r="C34" s="19">
        <f>SUM(C26:C33)</f>
        <v>82.5</v>
      </c>
      <c r="D34" s="19"/>
      <c r="E34" s="19">
        <f>SUM(E26:E33)</f>
        <v>2640</v>
      </c>
    </row>
    <row r="35" spans="1:5" ht="13.5" thickBot="1">
      <c r="A35" s="35"/>
      <c r="B35" s="35"/>
      <c r="C35" s="29"/>
      <c r="D35" s="36"/>
      <c r="E35" s="19"/>
    </row>
    <row r="36" spans="1:5" ht="15" customHeight="1" thickBot="1">
      <c r="A36" s="37" t="s">
        <v>149</v>
      </c>
      <c r="B36" s="37"/>
      <c r="C36" s="26"/>
      <c r="D36" s="27"/>
      <c r="E36" s="28">
        <f>E34+E24</f>
        <v>3951</v>
      </c>
    </row>
    <row r="37" spans="1:5" ht="13.5" thickBot="1">
      <c r="A37" s="16"/>
      <c r="B37" s="16"/>
      <c r="C37" s="20"/>
      <c r="D37" s="18"/>
      <c r="E37" s="19"/>
    </row>
    <row r="38" spans="1:5" ht="15" customHeight="1" thickBot="1">
      <c r="A38" s="38" t="s">
        <v>101</v>
      </c>
      <c r="B38" s="38"/>
      <c r="C38" s="38"/>
      <c r="D38" s="39"/>
      <c r="E38" s="40">
        <f>E36+E15</f>
        <v>14051</v>
      </c>
    </row>
    <row r="39" spans="1:5" ht="12.75">
      <c r="A39" s="7"/>
      <c r="B39" s="7"/>
      <c r="C39" s="7"/>
      <c r="D39" s="8"/>
      <c r="E39" s="5"/>
    </row>
    <row r="40" spans="1:7" ht="12.75" customHeight="1">
      <c r="A40" s="159" t="s">
        <v>72</v>
      </c>
      <c r="B40" s="159"/>
      <c r="C40" s="159"/>
      <c r="D40" s="159"/>
      <c r="E40" s="159"/>
      <c r="F40" s="142"/>
      <c r="G40" s="142"/>
    </row>
    <row r="41" spans="1:5" ht="12.75">
      <c r="A41" s="9"/>
      <c r="B41" s="7"/>
      <c r="C41" s="7"/>
      <c r="D41" s="8"/>
      <c r="E41" s="5"/>
    </row>
    <row r="42" spans="1:5" ht="12.75">
      <c r="A42" s="7"/>
      <c r="B42" s="7"/>
      <c r="C42" s="7"/>
      <c r="D42" s="8"/>
      <c r="E42" s="5"/>
    </row>
    <row r="43" spans="1:5" ht="12.75">
      <c r="A43" s="7"/>
      <c r="B43" s="7"/>
      <c r="C43" s="7"/>
      <c r="D43" s="8"/>
      <c r="E43" s="5"/>
    </row>
    <row r="44" spans="1:5" ht="12.75">
      <c r="A44" s="7"/>
      <c r="B44" s="7"/>
      <c r="C44" s="7"/>
      <c r="D44" s="8"/>
      <c r="E44" s="5"/>
    </row>
    <row r="45" spans="1:5" ht="12.75">
      <c r="A45" s="7"/>
      <c r="B45" s="7"/>
      <c r="C45" s="7"/>
      <c r="D45" s="8"/>
      <c r="E45" s="5"/>
    </row>
    <row r="46" spans="1:5" ht="12.75">
      <c r="A46" s="7"/>
      <c r="B46" s="7"/>
      <c r="C46" s="7"/>
      <c r="D46" s="8"/>
      <c r="E46" s="5"/>
    </row>
    <row r="47" spans="1:5" ht="12.75">
      <c r="A47" s="7"/>
      <c r="B47" s="7"/>
      <c r="C47" s="7"/>
      <c r="D47" s="8"/>
      <c r="E47" s="5"/>
    </row>
    <row r="48" spans="1:5" ht="12.75">
      <c r="A48" s="7"/>
      <c r="B48" s="7"/>
      <c r="C48" s="7"/>
      <c r="D48" s="8"/>
      <c r="E48" s="5"/>
    </row>
    <row r="49" spans="1:5" ht="12.75">
      <c r="A49" s="7"/>
      <c r="B49" s="7"/>
      <c r="C49" s="7"/>
      <c r="D49" s="8"/>
      <c r="E49" s="5"/>
    </row>
    <row r="50" spans="1:5" ht="12.75">
      <c r="A50" s="7"/>
      <c r="B50" s="7"/>
      <c r="C50" s="7"/>
      <c r="D50" s="8"/>
      <c r="E50" s="5"/>
    </row>
  </sheetData>
  <sheetProtection password="CB5B" sheet="1"/>
  <protectedRanges>
    <protectedRange sqref="A2 C4 C6:C8 C10 C14 C17:C21 C26:C33" name="Bereich1"/>
  </protectedRanges>
  <mergeCells count="2">
    <mergeCell ref="A1:E1"/>
    <mergeCell ref="A40:E40"/>
  </mergeCells>
  <printOptions/>
  <pageMargins left="0.7086614173228347" right="0.7086614173228347" top="0.7874015748031497" bottom="0.7480314960629921" header="0.31496062992125984" footer="0.31496062992125984"/>
  <pageSetup fitToHeight="1" fitToWidth="1" horizontalDpi="600" verticalDpi="600" orientation="portrait" paperSize="9" scale="97" r:id="rId2"/>
  <headerFooter>
    <oddHeader>&amp;CCalculs modélisés pour l'arboriculture fruitière haute-tige biologique 2016</oddHeader>
    <oddFooter>&amp;L&amp;G&amp;C© Copyright 2016 FiBL, Frick. Tous droits réservés.</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G51"/>
  <sheetViews>
    <sheetView showGridLines="0" zoomScale="120" zoomScaleNormal="120" zoomScalePageLayoutView="120" workbookViewId="0" topLeftCell="A1">
      <selection activeCell="D4" sqref="D4"/>
    </sheetView>
  </sheetViews>
  <sheetFormatPr defaultColWidth="11.421875" defaultRowHeight="12.75"/>
  <cols>
    <col min="1" max="1" width="21.8515625" style="0" customWidth="1"/>
    <col min="2" max="2" width="11.421875" style="0" customWidth="1"/>
    <col min="3" max="3" width="29.00390625" style="0" customWidth="1"/>
    <col min="4" max="4" width="5.421875" style="0" customWidth="1"/>
    <col min="5" max="5" width="8.7109375" style="0" customWidth="1"/>
    <col min="6" max="6" width="10.421875" style="1" customWidth="1"/>
    <col min="7" max="7" width="10.28125" style="2" customWidth="1"/>
  </cols>
  <sheetData>
    <row r="1" spans="1:7" ht="24.75" customHeight="1">
      <c r="A1" s="163" t="str">
        <f>CONCATENATE("Phase de développement jusqu'au plein rendement après 15 ans, ",Réalisation!C4," arbres/ha")</f>
        <v>Phase de développement jusqu'au plein rendement après 15 ans, 100 arbres/ha</v>
      </c>
      <c r="B1" s="163"/>
      <c r="C1" s="163"/>
      <c r="D1" s="163"/>
      <c r="E1" s="163"/>
      <c r="F1" s="163"/>
      <c r="G1" s="163"/>
    </row>
    <row r="2" spans="1:7" ht="13.5" thickBot="1">
      <c r="A2" s="16" t="str">
        <f>Réalisation!A2</f>
        <v>Variante mécanisée, contributions OPD / arbre, poires à cidres, Bio Bourgeon</v>
      </c>
      <c r="B2" s="16"/>
      <c r="C2" s="16"/>
      <c r="D2" s="16"/>
      <c r="E2" s="16"/>
      <c r="F2" s="41"/>
      <c r="G2" s="42"/>
    </row>
    <row r="3" spans="1:7" ht="15.75" thickBot="1">
      <c r="A3" s="12" t="s">
        <v>173</v>
      </c>
      <c r="B3" s="12"/>
      <c r="C3" s="12"/>
      <c r="D3" s="43" t="s">
        <v>105</v>
      </c>
      <c r="E3" s="43" t="s">
        <v>83</v>
      </c>
      <c r="F3" s="14" t="s">
        <v>150</v>
      </c>
      <c r="G3" s="44" t="s">
        <v>7</v>
      </c>
    </row>
    <row r="4" spans="1:7" ht="13.5" thickBot="1">
      <c r="A4" s="16" t="s">
        <v>38</v>
      </c>
      <c r="B4" s="16" t="str">
        <f>CONCATENATE("Compost (",Coûts!$D$11,")")</f>
        <v>Compost (t)</v>
      </c>
      <c r="C4" s="16"/>
      <c r="D4" s="21">
        <v>1</v>
      </c>
      <c r="E4" s="21">
        <v>10</v>
      </c>
      <c r="F4" s="18">
        <f>Coûts!$E$11</f>
        <v>16</v>
      </c>
      <c r="G4" s="19">
        <f>D4*E4*F4</f>
        <v>160</v>
      </c>
    </row>
    <row r="5" spans="1:7" ht="13.5" thickBot="1">
      <c r="A5" s="16" t="s">
        <v>39</v>
      </c>
      <c r="B5" s="16" t="s">
        <v>49</v>
      </c>
      <c r="C5" s="16"/>
      <c r="D5" s="21"/>
      <c r="E5" s="21">
        <v>0</v>
      </c>
      <c r="F5" s="18">
        <f>Coûts!$E$13</f>
        <v>0</v>
      </c>
      <c r="G5" s="19">
        <f>D5*E5*F5</f>
        <v>0</v>
      </c>
    </row>
    <row r="6" spans="1:7" ht="13.5" thickBot="1">
      <c r="A6" s="45"/>
      <c r="B6" s="45" t="s">
        <v>50</v>
      </c>
      <c r="C6" s="45"/>
      <c r="D6" s="21">
        <v>0</v>
      </c>
      <c r="E6" s="21">
        <v>0</v>
      </c>
      <c r="F6" s="18">
        <f>Coûts!$E$14</f>
        <v>0</v>
      </c>
      <c r="G6" s="19">
        <f>D6*E6*F6</f>
        <v>0</v>
      </c>
    </row>
    <row r="7" spans="1:7" ht="13.5" thickBot="1">
      <c r="A7" s="46" t="s">
        <v>102</v>
      </c>
      <c r="B7" s="45"/>
      <c r="C7" s="45"/>
      <c r="D7" s="16"/>
      <c r="E7" s="21">
        <v>20</v>
      </c>
      <c r="F7" s="18">
        <f>Coûts!$E$44</f>
        <v>32</v>
      </c>
      <c r="G7" s="19">
        <f>E7*F7</f>
        <v>640</v>
      </c>
    </row>
    <row r="8" spans="1:7" ht="13.5" thickBot="1">
      <c r="A8" s="16" t="s">
        <v>103</v>
      </c>
      <c r="B8" s="16"/>
      <c r="C8" s="47"/>
      <c r="D8" s="16"/>
      <c r="E8" s="20"/>
      <c r="F8" s="18">
        <f>Coûts!$E$21</f>
        <v>500</v>
      </c>
      <c r="G8" s="19">
        <f>F8</f>
        <v>500</v>
      </c>
    </row>
    <row r="9" spans="1:7" ht="13.5" thickBot="1">
      <c r="A9" s="16" t="s">
        <v>104</v>
      </c>
      <c r="B9" s="16"/>
      <c r="C9" s="16"/>
      <c r="D9" s="16"/>
      <c r="E9" s="21">
        <v>0.1</v>
      </c>
      <c r="F9" s="48">
        <f>Coûts!$E$18</f>
        <v>80</v>
      </c>
      <c r="G9" s="19">
        <f>E9*F9</f>
        <v>8</v>
      </c>
    </row>
    <row r="10" spans="1:7" ht="15" customHeight="1">
      <c r="A10" s="49" t="s">
        <v>91</v>
      </c>
      <c r="B10" s="49"/>
      <c r="C10" s="49"/>
      <c r="D10" s="49"/>
      <c r="E10" s="49"/>
      <c r="F10" s="50"/>
      <c r="G10" s="51">
        <f>SUM(G4:G9)</f>
        <v>1308</v>
      </c>
    </row>
    <row r="11" spans="1:7" ht="13.5" thickBot="1">
      <c r="A11" s="16"/>
      <c r="B11" s="16"/>
      <c r="C11" s="16"/>
      <c r="D11" s="16"/>
      <c r="E11" s="16"/>
      <c r="F11" s="41"/>
      <c r="G11" s="52"/>
    </row>
    <row r="12" spans="1:7" ht="13.5" thickBot="1">
      <c r="A12" s="16" t="s">
        <v>117</v>
      </c>
      <c r="B12" s="16" t="s">
        <v>142</v>
      </c>
      <c r="C12" s="16"/>
      <c r="D12" s="21">
        <v>0</v>
      </c>
      <c r="E12" s="21">
        <v>3</v>
      </c>
      <c r="F12" s="48">
        <f>Coûts!$E$26</f>
        <v>17</v>
      </c>
      <c r="G12" s="19">
        <f>D12*E12*F12</f>
        <v>0</v>
      </c>
    </row>
    <row r="13" spans="1:7" ht="13.5" thickBot="1">
      <c r="A13" s="16"/>
      <c r="B13" s="16" t="s">
        <v>62</v>
      </c>
      <c r="C13" s="16"/>
      <c r="D13" s="21">
        <v>0</v>
      </c>
      <c r="E13" s="21">
        <v>0</v>
      </c>
      <c r="F13" s="18">
        <f>Coûts!$E$31</f>
        <v>47</v>
      </c>
      <c r="G13" s="19">
        <f>D13*E13*F13</f>
        <v>0</v>
      </c>
    </row>
    <row r="14" spans="1:7" ht="13.5" thickBot="1">
      <c r="A14" s="16"/>
      <c r="B14" s="16" t="s">
        <v>59</v>
      </c>
      <c r="C14" s="16"/>
      <c r="D14" s="16"/>
      <c r="E14" s="21">
        <v>14</v>
      </c>
      <c r="F14" s="48">
        <f>Coûts!$E$28</f>
        <v>15</v>
      </c>
      <c r="G14" s="19">
        <f aca="true" t="shared" si="0" ref="G14:G21">E14*F14</f>
        <v>210</v>
      </c>
    </row>
    <row r="15" spans="1:7" ht="13.5" thickBot="1">
      <c r="A15" s="16"/>
      <c r="B15" s="16" t="s">
        <v>108</v>
      </c>
      <c r="C15" s="16"/>
      <c r="D15" s="16"/>
      <c r="E15" s="21">
        <v>2</v>
      </c>
      <c r="F15" s="48">
        <f>Coûts!$E$32</f>
        <v>20</v>
      </c>
      <c r="G15" s="19">
        <f t="shared" si="0"/>
        <v>40</v>
      </c>
    </row>
    <row r="16" spans="1:7" ht="13.5" thickBot="1">
      <c r="A16" s="16"/>
      <c r="B16" s="162" t="s">
        <v>109</v>
      </c>
      <c r="C16" s="162"/>
      <c r="D16" s="16"/>
      <c r="E16" s="21">
        <v>60</v>
      </c>
      <c r="F16" s="48">
        <f>Coûts!$E$33</f>
        <v>25</v>
      </c>
      <c r="G16" s="19">
        <f>E16*F16</f>
        <v>1500</v>
      </c>
    </row>
    <row r="17" spans="1:7" ht="13.5" thickBot="1">
      <c r="A17" s="16"/>
      <c r="B17" s="16" t="s">
        <v>61</v>
      </c>
      <c r="C17" s="16"/>
      <c r="D17" s="16"/>
      <c r="E17" s="21">
        <v>0</v>
      </c>
      <c r="F17" s="48">
        <f>Coûts!$E$30</f>
        <v>25</v>
      </c>
      <c r="G17" s="19">
        <f>E17*F17</f>
        <v>0</v>
      </c>
    </row>
    <row r="18" spans="1:7" ht="13.5" thickBot="1">
      <c r="A18" s="16"/>
      <c r="B18" s="16" t="s">
        <v>65</v>
      </c>
      <c r="C18" s="16"/>
      <c r="D18" s="16"/>
      <c r="E18" s="21">
        <v>0</v>
      </c>
      <c r="F18" s="48">
        <f>Coûts!$E$35</f>
        <v>80</v>
      </c>
      <c r="G18" s="19">
        <f>E18*F18</f>
        <v>0</v>
      </c>
    </row>
    <row r="19" spans="1:7" ht="13.5" thickBot="1">
      <c r="A19" s="16"/>
      <c r="B19" s="16" t="s">
        <v>66</v>
      </c>
      <c r="C19" s="16"/>
      <c r="D19" s="16"/>
      <c r="E19" s="21">
        <v>20</v>
      </c>
      <c r="F19" s="48">
        <f>Coûts!$E$36</f>
        <v>27</v>
      </c>
      <c r="G19" s="19">
        <f t="shared" si="0"/>
        <v>540</v>
      </c>
    </row>
    <row r="20" spans="1:7" ht="13.5" thickBot="1">
      <c r="A20" s="16"/>
      <c r="B20" s="16" t="s">
        <v>64</v>
      </c>
      <c r="C20" s="16"/>
      <c r="D20" s="16"/>
      <c r="E20" s="21">
        <v>10</v>
      </c>
      <c r="F20" s="48">
        <f>Coûts!$E$34</f>
        <v>15</v>
      </c>
      <c r="G20" s="19">
        <f>E20*F20</f>
        <v>150</v>
      </c>
    </row>
    <row r="21" spans="1:7" ht="13.5" thickBot="1">
      <c r="A21" s="16" t="s">
        <v>42</v>
      </c>
      <c r="B21" s="46" t="s">
        <v>67</v>
      </c>
      <c r="C21" s="16"/>
      <c r="D21" s="16"/>
      <c r="E21" s="21">
        <v>30</v>
      </c>
      <c r="F21" s="48">
        <f>Coûts!$E$38</f>
        <v>35</v>
      </c>
      <c r="G21" s="19">
        <f t="shared" si="0"/>
        <v>1050</v>
      </c>
    </row>
    <row r="22" spans="1:7" ht="15" customHeight="1" thickBot="1">
      <c r="A22" s="20" t="s">
        <v>93</v>
      </c>
      <c r="B22" s="20"/>
      <c r="C22" s="20"/>
      <c r="D22" s="20"/>
      <c r="E22" s="53"/>
      <c r="F22" s="23"/>
      <c r="G22" s="25">
        <f>SUM(G12:G21)</f>
        <v>3490</v>
      </c>
    </row>
    <row r="23" spans="1:7" ht="13.5" thickBot="1">
      <c r="A23" s="35"/>
      <c r="B23" s="35"/>
      <c r="C23" s="35"/>
      <c r="D23" s="35"/>
      <c r="E23" s="53"/>
      <c r="F23" s="23"/>
      <c r="G23" s="25"/>
    </row>
    <row r="24" spans="1:7" ht="15" customHeight="1" thickBot="1">
      <c r="A24" s="54" t="s">
        <v>44</v>
      </c>
      <c r="B24" s="54"/>
      <c r="C24" s="54"/>
      <c r="D24" s="54"/>
      <c r="E24" s="53"/>
      <c r="F24" s="23"/>
      <c r="G24" s="25">
        <f>Coûts!E42</f>
        <v>700</v>
      </c>
    </row>
    <row r="25" spans="1:7" ht="13.5" thickBot="1">
      <c r="A25" s="16"/>
      <c r="B25" s="16"/>
      <c r="C25" s="16"/>
      <c r="D25" s="16"/>
      <c r="E25" s="20"/>
      <c r="F25" s="18"/>
      <c r="G25" s="19"/>
    </row>
    <row r="26" spans="1:7" ht="15.75" thickBot="1">
      <c r="A26" s="16" t="s">
        <v>94</v>
      </c>
      <c r="B26" s="16" t="s">
        <v>174</v>
      </c>
      <c r="C26" s="16"/>
      <c r="D26" s="16"/>
      <c r="E26" s="21">
        <v>50</v>
      </c>
      <c r="F26" s="18">
        <f>Coûts!$E$44</f>
        <v>32</v>
      </c>
      <c r="G26" s="19">
        <f>E26*F26</f>
        <v>1600</v>
      </c>
    </row>
    <row r="27" spans="1:7" ht="15.75" thickBot="1">
      <c r="A27" s="16"/>
      <c r="B27" s="16" t="s">
        <v>175</v>
      </c>
      <c r="C27" s="16"/>
      <c r="D27" s="16"/>
      <c r="E27" s="21">
        <v>8</v>
      </c>
      <c r="F27" s="18">
        <f>Coûts!$E$44</f>
        <v>32</v>
      </c>
      <c r="G27" s="19">
        <f>E27*F27</f>
        <v>256</v>
      </c>
    </row>
    <row r="28" spans="1:7" ht="13.5" thickBot="1">
      <c r="A28" s="16"/>
      <c r="B28" s="16" t="s">
        <v>39</v>
      </c>
      <c r="C28" s="16"/>
      <c r="D28" s="16"/>
      <c r="E28" s="21">
        <v>0</v>
      </c>
      <c r="F28" s="18">
        <f>Coûts!$E$44</f>
        <v>32</v>
      </c>
      <c r="G28" s="19">
        <f>E28*F28</f>
        <v>0</v>
      </c>
    </row>
    <row r="29" spans="1:7" ht="13.5" thickBot="1">
      <c r="A29" s="16"/>
      <c r="B29" s="16" t="s">
        <v>110</v>
      </c>
      <c r="C29" s="16"/>
      <c r="D29" s="16"/>
      <c r="E29" s="21">
        <v>10</v>
      </c>
      <c r="F29" s="18">
        <f>Coûts!$E$44</f>
        <v>32</v>
      </c>
      <c r="G29" s="19">
        <f aca="true" t="shared" si="1" ref="G29:G37">E29*F29</f>
        <v>320</v>
      </c>
    </row>
    <row r="30" spans="1:7" ht="13.5" thickBot="1">
      <c r="A30" s="16"/>
      <c r="B30" s="16" t="s">
        <v>90</v>
      </c>
      <c r="C30" s="16"/>
      <c r="D30" s="16"/>
      <c r="E30" s="21">
        <v>20</v>
      </c>
      <c r="F30" s="18">
        <f>Coûts!$E$44</f>
        <v>32</v>
      </c>
      <c r="G30" s="19">
        <f t="shared" si="1"/>
        <v>640</v>
      </c>
    </row>
    <row r="31" spans="1:7" ht="13.5" thickBot="1">
      <c r="A31" s="16"/>
      <c r="B31" s="16" t="s">
        <v>111</v>
      </c>
      <c r="C31" s="16"/>
      <c r="D31" s="16"/>
      <c r="E31" s="21">
        <v>10</v>
      </c>
      <c r="F31" s="18">
        <f>Coûts!$E$44</f>
        <v>32</v>
      </c>
      <c r="G31" s="19">
        <f t="shared" si="1"/>
        <v>320</v>
      </c>
    </row>
    <row r="32" spans="1:7" ht="13.5" thickBot="1">
      <c r="A32" s="16"/>
      <c r="B32" s="16" t="s">
        <v>112</v>
      </c>
      <c r="C32" s="16"/>
      <c r="D32" s="16"/>
      <c r="E32" s="21">
        <v>10</v>
      </c>
      <c r="F32" s="18">
        <f>Coûts!$E$44</f>
        <v>32</v>
      </c>
      <c r="G32" s="19">
        <f t="shared" si="1"/>
        <v>320</v>
      </c>
    </row>
    <row r="33" spans="1:7" ht="15.75" thickBot="1">
      <c r="A33" s="16"/>
      <c r="B33" s="16" t="s">
        <v>176</v>
      </c>
      <c r="C33" s="16"/>
      <c r="D33" s="16"/>
      <c r="E33" s="21">
        <v>0</v>
      </c>
      <c r="F33" s="18">
        <f>Coûts!$E$44</f>
        <v>32</v>
      </c>
      <c r="G33" s="19">
        <f t="shared" si="1"/>
        <v>0</v>
      </c>
    </row>
    <row r="34" spans="1:7" ht="15.75" thickBot="1">
      <c r="A34" s="16"/>
      <c r="B34" s="16" t="s">
        <v>177</v>
      </c>
      <c r="C34" s="16"/>
      <c r="D34" s="16"/>
      <c r="E34" s="21">
        <v>15</v>
      </c>
      <c r="F34" s="18">
        <f>Coûts!$E$44</f>
        <v>32</v>
      </c>
      <c r="G34" s="19">
        <f t="shared" si="1"/>
        <v>480</v>
      </c>
    </row>
    <row r="35" spans="1:7" ht="13.5" thickBot="1">
      <c r="A35" s="16"/>
      <c r="B35" s="16" t="str">
        <f>CONCATENATE("Transport à la cidrerie (moyenne ",TEXT(Coûts!E56*100,"0")," kg)")</f>
        <v>Transport à la cidrerie (moyenne 6367 kg)</v>
      </c>
      <c r="C35" s="16"/>
      <c r="D35" s="16"/>
      <c r="E35" s="21">
        <v>8</v>
      </c>
      <c r="F35" s="18">
        <f>Coûts!$E$44</f>
        <v>32</v>
      </c>
      <c r="G35" s="19">
        <f t="shared" si="1"/>
        <v>256</v>
      </c>
    </row>
    <row r="36" spans="1:7" ht="13.5" thickBot="1">
      <c r="A36" s="16"/>
      <c r="B36" s="16" t="s">
        <v>113</v>
      </c>
      <c r="C36" s="16"/>
      <c r="D36" s="16"/>
      <c r="E36" s="21">
        <v>10</v>
      </c>
      <c r="F36" s="18">
        <f>Coûts!$E$44</f>
        <v>32</v>
      </c>
      <c r="G36" s="19">
        <f t="shared" si="1"/>
        <v>320</v>
      </c>
    </row>
    <row r="37" spans="1:7" ht="13.5" thickBot="1">
      <c r="A37" s="16" t="s">
        <v>139</v>
      </c>
      <c r="B37" s="16" t="s">
        <v>159</v>
      </c>
      <c r="C37" s="16"/>
      <c r="D37" s="16"/>
      <c r="E37" s="20">
        <f>(0.1)*(SUM(E26:E36))</f>
        <v>14.100000000000001</v>
      </c>
      <c r="F37" s="18">
        <f>Coûts!$E$44</f>
        <v>32</v>
      </c>
      <c r="G37" s="19">
        <f t="shared" si="1"/>
        <v>451.20000000000005</v>
      </c>
    </row>
    <row r="38" spans="1:7" ht="13.5" thickBot="1">
      <c r="A38" s="16"/>
      <c r="B38" s="16"/>
      <c r="C38" s="16"/>
      <c r="D38" s="16"/>
      <c r="E38" s="20"/>
      <c r="F38" s="18"/>
      <c r="G38" s="19"/>
    </row>
    <row r="39" spans="1:7" ht="15" customHeight="1" thickBot="1">
      <c r="A39" s="20" t="s">
        <v>100</v>
      </c>
      <c r="B39" s="55"/>
      <c r="C39" s="55"/>
      <c r="D39" s="55"/>
      <c r="E39" s="19">
        <f>SUM(E26:E37)</f>
        <v>155.1</v>
      </c>
      <c r="F39" s="19"/>
      <c r="G39" s="19">
        <f>SUM(G26:G38)</f>
        <v>4963.2</v>
      </c>
    </row>
    <row r="40" spans="1:7" ht="13.5" thickBot="1">
      <c r="A40" s="16"/>
      <c r="B40" s="16"/>
      <c r="C40" s="16"/>
      <c r="D40" s="16"/>
      <c r="E40" s="16"/>
      <c r="F40" s="41"/>
      <c r="G40" s="52"/>
    </row>
    <row r="41" spans="1:7" ht="15" customHeight="1" thickBot="1">
      <c r="A41" s="56" t="s">
        <v>151</v>
      </c>
      <c r="B41" s="56"/>
      <c r="C41" s="56"/>
      <c r="D41" s="56"/>
      <c r="E41" s="56"/>
      <c r="F41" s="57"/>
      <c r="G41" s="58">
        <f>G39+G24+G22</f>
        <v>9153.2</v>
      </c>
    </row>
    <row r="42" spans="1:7" ht="13.5" thickBot="1">
      <c r="A42" s="16"/>
      <c r="B42" s="16"/>
      <c r="C42" s="16"/>
      <c r="D42" s="16"/>
      <c r="E42" s="16"/>
      <c r="F42" s="41"/>
      <c r="G42" s="52"/>
    </row>
    <row r="43" spans="1:7" ht="15" customHeight="1" thickBot="1">
      <c r="A43" s="12" t="s">
        <v>114</v>
      </c>
      <c r="B43" s="12"/>
      <c r="C43" s="12"/>
      <c r="D43" s="12"/>
      <c r="E43" s="12"/>
      <c r="F43" s="59"/>
      <c r="G43" s="60">
        <f>G41+G10</f>
        <v>10461.2</v>
      </c>
    </row>
    <row r="45" spans="1:7" ht="12.75">
      <c r="A45" s="159" t="s">
        <v>72</v>
      </c>
      <c r="B45" s="159"/>
      <c r="C45" s="159"/>
      <c r="D45" s="159"/>
      <c r="E45" s="159"/>
      <c r="F45" s="159"/>
      <c r="G45" s="159"/>
    </row>
    <row r="46" spans="1:5" ht="15">
      <c r="A46" s="164" t="s">
        <v>107</v>
      </c>
      <c r="B46" s="164"/>
      <c r="C46" s="164"/>
      <c r="D46" s="164"/>
      <c r="E46" s="164"/>
    </row>
    <row r="47" spans="1:5" ht="15">
      <c r="A47" s="164" t="s">
        <v>115</v>
      </c>
      <c r="B47" s="164"/>
      <c r="C47" s="164"/>
      <c r="D47" s="164"/>
      <c r="E47" s="164"/>
    </row>
    <row r="48" spans="1:5" ht="15">
      <c r="A48" s="164" t="s">
        <v>116</v>
      </c>
      <c r="B48" s="164"/>
      <c r="C48" s="164"/>
      <c r="D48" s="164"/>
      <c r="E48" s="164"/>
    </row>
    <row r="49" spans="1:5" ht="12.75">
      <c r="A49" s="162" t="s">
        <v>152</v>
      </c>
      <c r="B49" s="162"/>
      <c r="C49" s="162"/>
      <c r="D49" s="162"/>
      <c r="E49" s="162"/>
    </row>
    <row r="50" spans="1:5" ht="15">
      <c r="A50" s="134" t="s">
        <v>153</v>
      </c>
      <c r="B50" s="134"/>
      <c r="C50" s="134"/>
      <c r="D50" s="134"/>
      <c r="E50" s="134"/>
    </row>
    <row r="51" spans="1:5" ht="15">
      <c r="A51" s="134" t="s">
        <v>154</v>
      </c>
      <c r="B51" s="134"/>
      <c r="C51" s="134"/>
      <c r="D51" s="134"/>
      <c r="E51" s="134"/>
    </row>
  </sheetData>
  <sheetProtection password="CB5B" sheet="1"/>
  <protectedRanges>
    <protectedRange sqref="D4:E6 E7 E26:E36" name="Bereich1"/>
    <protectedRange sqref="E9" name="Bereich1_1"/>
    <protectedRange sqref="D12:D13" name="Bereich1_4"/>
    <protectedRange sqref="E12:E21" name="Bereich1_2"/>
  </protectedRanges>
  <mergeCells count="7">
    <mergeCell ref="A49:E49"/>
    <mergeCell ref="A45:G45"/>
    <mergeCell ref="A1:G1"/>
    <mergeCell ref="B16:C16"/>
    <mergeCell ref="A46:E46"/>
    <mergeCell ref="A47:E47"/>
    <mergeCell ref="A48:E48"/>
  </mergeCells>
  <printOptions/>
  <pageMargins left="0.7086614173228347" right="0.7086614173228347" top="0.7874015748031497" bottom="0.7480314960629921" header="0.31496062992125984" footer="0.31496062992125984"/>
  <pageSetup fitToHeight="1" fitToWidth="1" horizontalDpi="600" verticalDpi="600" orientation="portrait" paperSize="9" scale="90" r:id="rId2"/>
  <headerFooter>
    <oddHeader>&amp;CCalculs modélisés pour l'arboriculture fruitière haute-tige biologique 2016</oddHeader>
    <oddFooter>&amp;L&amp;G&amp;C© Copyright 2016 FiBL, Frick. Tous droits réservés.</oddFooter>
  </headerFooter>
  <legacyDrawingHF r:id="rId1"/>
</worksheet>
</file>

<file path=xl/worksheets/sheet5.xml><?xml version="1.0" encoding="utf-8"?>
<worksheet xmlns="http://schemas.openxmlformats.org/spreadsheetml/2006/main" xmlns:r="http://schemas.openxmlformats.org/officeDocument/2006/relationships">
  <dimension ref="A1:F36"/>
  <sheetViews>
    <sheetView showGridLines="0" zoomScale="120" zoomScaleNormal="120" zoomScalePageLayoutView="120" workbookViewId="0" topLeftCell="A1">
      <selection activeCell="C6" sqref="C6"/>
    </sheetView>
  </sheetViews>
  <sheetFormatPr defaultColWidth="11.421875" defaultRowHeight="12.75"/>
  <cols>
    <col min="1" max="1" width="15.421875" style="0" customWidth="1"/>
    <col min="2" max="2" width="30.7109375" style="0" customWidth="1"/>
    <col min="3" max="3" width="8.421875" style="0" customWidth="1"/>
    <col min="4" max="5" width="11.421875" style="0" customWidth="1"/>
    <col min="6" max="6" width="11.421875" style="4" customWidth="1"/>
  </cols>
  <sheetData>
    <row r="1" spans="1:6" s="128" customFormat="1" ht="24.75" customHeight="1">
      <c r="A1" s="126" t="str">
        <f>CONCATENATE("Valeur du verger: Phase de développement après ",C6," années")</f>
        <v>Valeur du verger: Phase de développement après 15 années</v>
      </c>
      <c r="B1" s="126"/>
      <c r="C1" s="126"/>
      <c r="D1" s="126"/>
      <c r="E1" s="126"/>
      <c r="F1" s="127"/>
    </row>
    <row r="2" spans="1:6" ht="13.5" thickBot="1">
      <c r="A2" s="16" t="str">
        <f>Réalisation!A2</f>
        <v>Variante mécanisée, contributions OPD / arbre, poires à cidres, Bio Bourgeon</v>
      </c>
      <c r="B2" s="16"/>
      <c r="C2" s="16"/>
      <c r="D2" s="16"/>
      <c r="E2" s="16"/>
      <c r="F2" s="61"/>
    </row>
    <row r="3" spans="1:6" ht="15.75" customHeight="1" thickBot="1">
      <c r="A3" s="12"/>
      <c r="B3" s="12"/>
      <c r="C3" s="43" t="s">
        <v>118</v>
      </c>
      <c r="D3" s="43" t="s">
        <v>83</v>
      </c>
      <c r="E3" s="13" t="s">
        <v>84</v>
      </c>
      <c r="F3" s="62" t="s">
        <v>7</v>
      </c>
    </row>
    <row r="4" spans="1:6" ht="13.5" thickBot="1">
      <c r="A4" s="16" t="str">
        <f>Réalisation!A38</f>
        <v>Total des frais de réalisation</v>
      </c>
      <c r="B4" s="16"/>
      <c r="C4" s="20"/>
      <c r="D4" s="20"/>
      <c r="E4" s="48">
        <f>Réalisation!E38</f>
        <v>14051</v>
      </c>
      <c r="F4" s="19">
        <f>E4</f>
        <v>14051</v>
      </c>
    </row>
    <row r="5" spans="1:6" ht="12.75">
      <c r="A5" s="16"/>
      <c r="B5" s="16"/>
      <c r="C5" s="20"/>
      <c r="D5" s="20"/>
      <c r="E5" s="20"/>
      <c r="F5" s="19"/>
    </row>
    <row r="6" spans="1:6" ht="12.75">
      <c r="A6" s="16" t="str">
        <f>'Phase de développement'!A43</f>
        <v>Total développement de la valeur du verger / année</v>
      </c>
      <c r="B6" s="16"/>
      <c r="C6" s="21">
        <v>15</v>
      </c>
      <c r="D6" s="20"/>
      <c r="E6" s="48">
        <f>'Phase de développement'!$G$43</f>
        <v>10461.2</v>
      </c>
      <c r="F6" s="19">
        <f>C6*E6</f>
        <v>156918</v>
      </c>
    </row>
    <row r="7" spans="1:6" ht="12.75">
      <c r="A7" s="16"/>
      <c r="B7" s="16"/>
      <c r="C7" s="20"/>
      <c r="D7" s="20"/>
      <c r="E7" s="20"/>
      <c r="F7" s="19"/>
    </row>
    <row r="8" spans="1:6" ht="15.75" customHeight="1">
      <c r="A8" s="20" t="s">
        <v>119</v>
      </c>
      <c r="B8" s="20"/>
      <c r="C8" s="20"/>
      <c r="D8" s="18"/>
      <c r="E8" s="20"/>
      <c r="F8" s="19">
        <f>F6+F4</f>
        <v>170969</v>
      </c>
    </row>
    <row r="9" spans="1:6" ht="12.75">
      <c r="A9" s="16"/>
      <c r="B9" s="16"/>
      <c r="C9" s="16"/>
      <c r="D9" s="16"/>
      <c r="E9" s="16"/>
      <c r="F9" s="52"/>
    </row>
    <row r="10" spans="1:6" ht="12.75">
      <c r="A10" s="16"/>
      <c r="B10" s="16"/>
      <c r="C10" s="16"/>
      <c r="D10" s="16"/>
      <c r="E10" s="16"/>
      <c r="F10" s="52"/>
    </row>
    <row r="11" spans="1:6" ht="12.75">
      <c r="A11" s="16"/>
      <c r="B11" s="16"/>
      <c r="C11" s="16"/>
      <c r="D11" s="16"/>
      <c r="E11" s="16"/>
      <c r="F11" s="52"/>
    </row>
    <row r="12" spans="1:6" ht="16.5" customHeight="1">
      <c r="A12" s="165" t="s">
        <v>120</v>
      </c>
      <c r="B12" s="166"/>
      <c r="C12" s="20">
        <f>$C$6</f>
        <v>15</v>
      </c>
      <c r="D12" s="19">
        <f>Coûts!$E$56*Réalisation!$C$4</f>
        <v>6366.666666666666</v>
      </c>
      <c r="E12" s="63">
        <f>Coûts!$E$46</f>
        <v>0.3</v>
      </c>
      <c r="F12" s="19">
        <f>C12*D12*E12</f>
        <v>28649.999999999996</v>
      </c>
    </row>
    <row r="13" spans="1:6" ht="16.5" customHeight="1">
      <c r="A13" s="165" t="s">
        <v>121</v>
      </c>
      <c r="B13" s="166"/>
      <c r="C13" s="20">
        <f>$C$6</f>
        <v>15</v>
      </c>
      <c r="D13" s="19">
        <f>Coûts!$E$56*Réalisation!$C$4</f>
        <v>6366.666666666666</v>
      </c>
      <c r="E13" s="64">
        <f>-Coûts!$E$23/100</f>
        <v>-0.0098</v>
      </c>
      <c r="F13" s="19">
        <f>C13*D13*E13</f>
        <v>-935.8999999999999</v>
      </c>
    </row>
    <row r="14" spans="1:6" ht="12.75">
      <c r="A14" s="16"/>
      <c r="B14" s="16"/>
      <c r="C14" s="20"/>
      <c r="D14" s="20"/>
      <c r="E14" s="20"/>
      <c r="F14" s="19"/>
    </row>
    <row r="15" spans="1:6" ht="12.75">
      <c r="A15" s="16" t="s">
        <v>122</v>
      </c>
      <c r="B15" s="16"/>
      <c r="C15" s="20"/>
      <c r="D15" s="20"/>
      <c r="E15" s="20"/>
      <c r="F15" s="19"/>
    </row>
    <row r="16" spans="1:6" ht="12.75">
      <c r="A16" s="16"/>
      <c r="B16" s="16"/>
      <c r="C16" s="20"/>
      <c r="D16" s="20"/>
      <c r="E16" s="20"/>
      <c r="F16" s="19"/>
    </row>
    <row r="17" spans="1:6" ht="12.75">
      <c r="A17" s="16" t="s">
        <v>123</v>
      </c>
      <c r="B17" s="16"/>
      <c r="C17" s="20">
        <f>$C$6</f>
        <v>15</v>
      </c>
      <c r="D17" s="18">
        <f>Réalisation!$C$4</f>
        <v>100</v>
      </c>
      <c r="E17" s="48">
        <f>F32</f>
        <v>62</v>
      </c>
      <c r="F17" s="19">
        <f>C17*D17*E17</f>
        <v>93000</v>
      </c>
    </row>
    <row r="18" spans="1:6" ht="12.75">
      <c r="A18" s="16" t="s">
        <v>10</v>
      </c>
      <c r="B18" s="16"/>
      <c r="C18" s="20"/>
      <c r="D18" s="20"/>
      <c r="E18" s="20"/>
      <c r="F18" s="19"/>
    </row>
    <row r="19" spans="1:6" ht="12.75">
      <c r="A19" s="16" t="s">
        <v>178</v>
      </c>
      <c r="B19" s="16"/>
      <c r="C19" s="20">
        <f>$C$6</f>
        <v>15</v>
      </c>
      <c r="D19" s="20"/>
      <c r="E19" s="65">
        <f>Coûts!$E$50</f>
        <v>200</v>
      </c>
      <c r="F19" s="19">
        <f>C19*E19</f>
        <v>3000</v>
      </c>
    </row>
    <row r="20" spans="1:6" ht="13.5" thickBot="1">
      <c r="A20" s="16"/>
      <c r="B20" s="16"/>
      <c r="C20" s="20"/>
      <c r="D20" s="20"/>
      <c r="E20" s="20"/>
      <c r="F20" s="19"/>
    </row>
    <row r="21" spans="1:6" ht="15.75" customHeight="1" thickBot="1">
      <c r="A21" s="20" t="s">
        <v>124</v>
      </c>
      <c r="B21" s="20"/>
      <c r="C21" s="20"/>
      <c r="D21" s="20"/>
      <c r="E21" s="20"/>
      <c r="F21" s="19">
        <f>SUM(F12:F20)</f>
        <v>123714.09999999999</v>
      </c>
    </row>
    <row r="22" spans="1:6" ht="13.5" thickBot="1">
      <c r="A22" s="16"/>
      <c r="B22" s="16"/>
      <c r="C22" s="20"/>
      <c r="D22" s="20"/>
      <c r="E22" s="20"/>
      <c r="F22" s="19"/>
    </row>
    <row r="23" spans="1:6" ht="15.75" customHeight="1" thickBot="1">
      <c r="A23" s="66" t="s">
        <v>179</v>
      </c>
      <c r="B23" s="66"/>
      <c r="C23" s="66"/>
      <c r="D23" s="66"/>
      <c r="E23" s="66"/>
      <c r="F23" s="131">
        <f>F21-F8</f>
        <v>-47254.90000000001</v>
      </c>
    </row>
    <row r="24" spans="1:6" ht="12.75">
      <c r="A24" s="16"/>
      <c r="B24" s="16"/>
      <c r="C24" s="16"/>
      <c r="D24" s="16"/>
      <c r="E24" s="16"/>
      <c r="F24" s="61"/>
    </row>
    <row r="25" spans="1:6" ht="12.75">
      <c r="A25" s="16"/>
      <c r="B25" s="16"/>
      <c r="C25" s="16"/>
      <c r="D25" s="16"/>
      <c r="E25" s="16"/>
      <c r="F25" s="61"/>
    </row>
    <row r="26" spans="1:6" ht="12.75">
      <c r="A26" s="67"/>
      <c r="B26" s="67"/>
      <c r="C26" s="16"/>
      <c r="D26" s="67" t="s">
        <v>123</v>
      </c>
      <c r="E26" s="16"/>
      <c r="F26" s="61"/>
    </row>
    <row r="27" spans="1:6" ht="13.5" thickBot="1">
      <c r="A27" s="16"/>
      <c r="B27" s="16"/>
      <c r="C27" s="16"/>
      <c r="D27" s="16" t="s">
        <v>125</v>
      </c>
      <c r="E27" s="16"/>
      <c r="F27" s="68">
        <v>15.5</v>
      </c>
    </row>
    <row r="28" spans="1:6" ht="13.5" thickBot="1">
      <c r="A28" s="16"/>
      <c r="B28" s="61"/>
      <c r="C28" s="16"/>
      <c r="D28" s="16" t="s">
        <v>126</v>
      </c>
      <c r="E28" s="16"/>
      <c r="F28" s="69">
        <v>31.5</v>
      </c>
    </row>
    <row r="29" spans="1:6" ht="15.75" thickBot="1">
      <c r="A29" s="16"/>
      <c r="B29" s="61"/>
      <c r="C29" s="16"/>
      <c r="D29" s="16" t="s">
        <v>127</v>
      </c>
      <c r="E29" s="16"/>
      <c r="F29" s="69">
        <v>0</v>
      </c>
    </row>
    <row r="30" spans="1:6" ht="13.5" thickBot="1">
      <c r="A30" s="16"/>
      <c r="B30" s="61"/>
      <c r="C30" s="16"/>
      <c r="D30" s="16" t="s">
        <v>128</v>
      </c>
      <c r="E30" s="16"/>
      <c r="F30" s="69">
        <v>5</v>
      </c>
    </row>
    <row r="31" spans="1:6" ht="12.75">
      <c r="A31" s="16"/>
      <c r="B31" s="61"/>
      <c r="C31" s="16"/>
      <c r="D31" s="16" t="s">
        <v>129</v>
      </c>
      <c r="E31" s="16"/>
      <c r="F31" s="70">
        <v>10</v>
      </c>
    </row>
    <row r="32" spans="1:6" ht="12.75">
      <c r="A32" s="16"/>
      <c r="B32" s="61"/>
      <c r="C32" s="16"/>
      <c r="D32" s="71" t="s">
        <v>11</v>
      </c>
      <c r="E32" s="16"/>
      <c r="F32" s="41">
        <f>F28+F27+F29+F30+F31</f>
        <v>62</v>
      </c>
    </row>
    <row r="34" spans="1:6" ht="12.75">
      <c r="A34" s="159" t="s">
        <v>72</v>
      </c>
      <c r="B34" s="159"/>
      <c r="C34" s="159"/>
      <c r="D34" s="159"/>
      <c r="E34" s="159"/>
      <c r="F34" s="159"/>
    </row>
    <row r="35" spans="5:6" ht="12.75">
      <c r="E35" s="1"/>
      <c r="F35" s="2"/>
    </row>
    <row r="36" spans="1:6" ht="15" customHeight="1">
      <c r="A36" s="162" t="s">
        <v>130</v>
      </c>
      <c r="B36" s="162"/>
      <c r="C36" s="162"/>
      <c r="D36" s="162"/>
      <c r="E36" s="162"/>
      <c r="F36" s="162"/>
    </row>
  </sheetData>
  <sheetProtection password="CB5B" sheet="1"/>
  <protectedRanges>
    <protectedRange sqref="F27:F31 C6" name="Bereich1"/>
  </protectedRanges>
  <mergeCells count="4">
    <mergeCell ref="A12:B12"/>
    <mergeCell ref="A13:B13"/>
    <mergeCell ref="A36:F36"/>
    <mergeCell ref="A34:F34"/>
  </mergeCells>
  <printOptions/>
  <pageMargins left="0.7086614173228347" right="0.7086614173228347" top="0.7874015748031497" bottom="0.7480314960629921" header="0.31496062992125984" footer="0.31496062992125984"/>
  <pageSetup horizontalDpi="600" verticalDpi="600" orientation="portrait" paperSize="9" r:id="rId2"/>
  <headerFooter>
    <oddHeader>&amp;CCalculs modélisés pour l'arboriculture fruitière haute-tige biologique 2016</oddHeader>
    <oddFooter>&amp;L&amp;G&amp;C© Copyright 2016 FiBL, Frick. Tous droits réservés.</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60"/>
  <sheetViews>
    <sheetView showGridLines="0" zoomScale="120" zoomScaleNormal="120" zoomScalePageLayoutView="120" workbookViewId="0" topLeftCell="A1">
      <selection activeCell="D6" sqref="D6"/>
    </sheetView>
  </sheetViews>
  <sheetFormatPr defaultColWidth="11.421875" defaultRowHeight="12.75"/>
  <cols>
    <col min="1" max="1" width="21.8515625" style="0" customWidth="1"/>
    <col min="2" max="2" width="46.421875" style="0" customWidth="1"/>
    <col min="3" max="3" width="5.421875" style="0" customWidth="1"/>
    <col min="4" max="4" width="7.421875" style="0" customWidth="1"/>
    <col min="5" max="5" width="10.00390625" style="0" customWidth="1"/>
    <col min="6" max="6" width="7.57421875" style="0" customWidth="1"/>
  </cols>
  <sheetData>
    <row r="1" spans="1:6" s="128" customFormat="1" ht="24.75" customHeight="1">
      <c r="A1" s="126" t="str">
        <f>CONCATENATE("Phase de rendement ",Réalisation!C4," arbres/ha, ",D6," ans")</f>
        <v>Phase de rendement 100 arbres/ha, 60 ans</v>
      </c>
      <c r="B1" s="126"/>
      <c r="C1" s="126"/>
      <c r="D1" s="126"/>
      <c r="E1" s="126"/>
      <c r="F1" s="126"/>
    </row>
    <row r="2" spans="1:6" ht="13.5" thickBot="1">
      <c r="A2" s="16" t="str">
        <f>Réalisation!A2</f>
        <v>Variante mécanisée, contributions OPD / arbre, poires à cidres, Bio Bourgeon</v>
      </c>
      <c r="B2" s="16"/>
      <c r="C2" s="16"/>
      <c r="D2" s="16"/>
      <c r="E2" s="16"/>
      <c r="F2" s="72"/>
    </row>
    <row r="3" spans="1:6" ht="15.75" thickBot="1">
      <c r="A3" s="12" t="s">
        <v>155</v>
      </c>
      <c r="B3" s="12"/>
      <c r="C3" s="43" t="s">
        <v>105</v>
      </c>
      <c r="D3" s="43" t="s">
        <v>83</v>
      </c>
      <c r="E3" s="13" t="s">
        <v>106</v>
      </c>
      <c r="F3" s="13" t="s">
        <v>7</v>
      </c>
    </row>
    <row r="4" spans="1:6" ht="12.75">
      <c r="A4" s="73" t="s">
        <v>180</v>
      </c>
      <c r="B4" s="73"/>
      <c r="C4" s="73"/>
      <c r="D4" s="74">
        <f>Coûts!$E$57</f>
        <v>25000</v>
      </c>
      <c r="E4" s="75">
        <f>Coûts!$E$46</f>
        <v>0.3</v>
      </c>
      <c r="F4" s="74">
        <f>D4*E4</f>
        <v>7500</v>
      </c>
    </row>
    <row r="5" spans="1:6" s="3" customFormat="1" ht="13.5" thickBot="1">
      <c r="A5" s="76" t="s">
        <v>131</v>
      </c>
      <c r="B5" s="45"/>
      <c r="C5" s="45"/>
      <c r="D5" s="45"/>
      <c r="E5" s="45"/>
      <c r="F5" s="77">
        <f>F4</f>
        <v>7500</v>
      </c>
    </row>
    <row r="6" spans="1:6" s="6" customFormat="1" ht="13.5" thickBot="1">
      <c r="A6" s="78" t="s">
        <v>156</v>
      </c>
      <c r="B6" s="79"/>
      <c r="C6" s="79"/>
      <c r="D6" s="21">
        <v>60</v>
      </c>
      <c r="E6" s="48">
        <f>IF('Valeur après développement'!F23&gt;=0,0,'Valeur après développement'!F23)</f>
        <v>-47254.90000000001</v>
      </c>
      <c r="F6" s="19">
        <f>(E6/D6)*-1</f>
        <v>787.5816666666668</v>
      </c>
    </row>
    <row r="7" spans="1:6" ht="13.5" thickBot="1">
      <c r="A7" s="16" t="s">
        <v>38</v>
      </c>
      <c r="B7" s="16" t="str">
        <f>CONCATENATE("Compost (",Coûts!$D$11,")")</f>
        <v>Compost (t)</v>
      </c>
      <c r="C7" s="21">
        <v>1</v>
      </c>
      <c r="D7" s="21">
        <v>15</v>
      </c>
      <c r="E7" s="48">
        <f>Coûts!$E$11</f>
        <v>16</v>
      </c>
      <c r="F7" s="19">
        <f>C7*D7*E7</f>
        <v>240</v>
      </c>
    </row>
    <row r="8" spans="1:6" ht="13.5" thickBot="1">
      <c r="A8" s="16" t="s">
        <v>39</v>
      </c>
      <c r="B8" s="16" t="s">
        <v>49</v>
      </c>
      <c r="C8" s="21">
        <v>0</v>
      </c>
      <c r="D8" s="21">
        <v>0</v>
      </c>
      <c r="E8" s="48">
        <f>Coûts!$E$13</f>
        <v>0</v>
      </c>
      <c r="F8" s="19">
        <f>C8*D8*E8</f>
        <v>0</v>
      </c>
    </row>
    <row r="9" spans="1:6" ht="13.5" thickBot="1">
      <c r="A9" s="45"/>
      <c r="B9" s="45" t="s">
        <v>50</v>
      </c>
      <c r="C9" s="21">
        <v>0</v>
      </c>
      <c r="D9" s="21">
        <v>0</v>
      </c>
      <c r="E9" s="48">
        <f>Coûts!$E$14</f>
        <v>0</v>
      </c>
      <c r="F9" s="19">
        <f>C9*D9*E9</f>
        <v>0</v>
      </c>
    </row>
    <row r="10" spans="1:6" ht="13.5" thickBot="1">
      <c r="A10" s="46" t="s">
        <v>102</v>
      </c>
      <c r="B10" s="45"/>
      <c r="C10" s="16"/>
      <c r="D10" s="21">
        <v>20</v>
      </c>
      <c r="E10" s="48">
        <f>Coûts!$E$44</f>
        <v>32</v>
      </c>
      <c r="F10" s="19">
        <f>D10*E10</f>
        <v>640</v>
      </c>
    </row>
    <row r="11" spans="1:6" ht="13.5" thickBot="1">
      <c r="A11" s="16" t="s">
        <v>104</v>
      </c>
      <c r="B11" s="16"/>
      <c r="C11" s="47"/>
      <c r="D11" s="21">
        <v>0.1</v>
      </c>
      <c r="E11" s="48">
        <f>Coûts!$E$18</f>
        <v>80</v>
      </c>
      <c r="F11" s="19">
        <f>D11*E11</f>
        <v>8</v>
      </c>
    </row>
    <row r="12" spans="1:6" ht="15.75" customHeight="1">
      <c r="A12" s="49" t="s">
        <v>91</v>
      </c>
      <c r="B12" s="49"/>
      <c r="C12" s="49"/>
      <c r="D12" s="49"/>
      <c r="E12" s="49"/>
      <c r="F12" s="51">
        <f>SUM(F6:F11)</f>
        <v>1675.581666666667</v>
      </c>
    </row>
    <row r="13" spans="1:6" ht="5.25" customHeight="1">
      <c r="A13" s="16"/>
      <c r="B13" s="16"/>
      <c r="C13" s="16"/>
      <c r="D13" s="16"/>
      <c r="E13" s="42"/>
      <c r="F13" s="52"/>
    </row>
    <row r="14" spans="1:6" ht="13.5" thickBot="1">
      <c r="A14" s="80" t="s">
        <v>181</v>
      </c>
      <c r="B14" s="16"/>
      <c r="C14" s="16"/>
      <c r="D14" s="16"/>
      <c r="E14" s="42"/>
      <c r="F14" s="81">
        <f>F5-F12</f>
        <v>5824.418333333333</v>
      </c>
    </row>
    <row r="15" spans="1:6" ht="15.75" customHeight="1" thickBot="1">
      <c r="A15" s="12"/>
      <c r="B15" s="12"/>
      <c r="C15" s="43" t="s">
        <v>105</v>
      </c>
      <c r="D15" s="12" t="str">
        <f>D3</f>
        <v>Quantité</v>
      </c>
      <c r="E15" s="13" t="str">
        <f>E3</f>
        <v>Prix Fr.2</v>
      </c>
      <c r="F15" s="13" t="str">
        <f>F3</f>
        <v>Fr./ha</v>
      </c>
    </row>
    <row r="16" spans="1:6" ht="13.5" thickBot="1">
      <c r="A16" s="16" t="s">
        <v>117</v>
      </c>
      <c r="B16" s="16" t="s">
        <v>142</v>
      </c>
      <c r="C16" s="21">
        <v>1</v>
      </c>
      <c r="D16" s="21">
        <v>3</v>
      </c>
      <c r="E16" s="48">
        <f>Coûts!$E$26</f>
        <v>17</v>
      </c>
      <c r="F16" s="19">
        <f>C16*D16*E16</f>
        <v>51</v>
      </c>
    </row>
    <row r="17" spans="1:6" ht="13.5" thickBot="1">
      <c r="A17" s="16"/>
      <c r="B17" s="16" t="s">
        <v>62</v>
      </c>
      <c r="C17" s="21">
        <v>0</v>
      </c>
      <c r="D17" s="21">
        <v>0</v>
      </c>
      <c r="E17" s="18">
        <f>Coûts!$E$31</f>
        <v>47</v>
      </c>
      <c r="F17" s="19">
        <f>C17*D17*E17</f>
        <v>0</v>
      </c>
    </row>
    <row r="18" spans="1:6" ht="13.5" thickBot="1">
      <c r="A18" s="16"/>
      <c r="B18" s="16" t="s">
        <v>59</v>
      </c>
      <c r="C18" s="16"/>
      <c r="D18" s="21">
        <v>14</v>
      </c>
      <c r="E18" s="48">
        <f>Coûts!$E$28</f>
        <v>15</v>
      </c>
      <c r="F18" s="19">
        <f aca="true" t="shared" si="0" ref="F18:F25">D18*E18</f>
        <v>210</v>
      </c>
    </row>
    <row r="19" spans="1:6" ht="13.5" thickBot="1">
      <c r="A19" s="16"/>
      <c r="B19" s="16" t="s">
        <v>108</v>
      </c>
      <c r="C19" s="16"/>
      <c r="D19" s="21">
        <v>2</v>
      </c>
      <c r="E19" s="48">
        <f>Coûts!$E$32</f>
        <v>20</v>
      </c>
      <c r="F19" s="19">
        <f t="shared" si="0"/>
        <v>40</v>
      </c>
    </row>
    <row r="20" spans="1:6" ht="15" customHeight="1" thickBot="1">
      <c r="A20" s="16"/>
      <c r="B20" s="144" t="s">
        <v>109</v>
      </c>
      <c r="C20" s="16"/>
      <c r="D20" s="21">
        <v>60</v>
      </c>
      <c r="E20" s="48">
        <f>Coûts!$E$33</f>
        <v>25</v>
      </c>
      <c r="F20" s="19">
        <f>D20*E20</f>
        <v>1500</v>
      </c>
    </row>
    <row r="21" spans="1:6" ht="12.75" customHeight="1" thickBot="1">
      <c r="A21" s="16"/>
      <c r="B21" s="16" t="s">
        <v>61</v>
      </c>
      <c r="C21" s="16"/>
      <c r="D21" s="21">
        <v>0</v>
      </c>
      <c r="E21" s="48">
        <f>Coûts!$E$30</f>
        <v>25</v>
      </c>
      <c r="F21" s="19">
        <f>D21*E21</f>
        <v>0</v>
      </c>
    </row>
    <row r="22" spans="1:6" ht="12.75" customHeight="1" thickBot="1">
      <c r="A22" s="16"/>
      <c r="B22" s="16" t="s">
        <v>65</v>
      </c>
      <c r="C22" s="16"/>
      <c r="D22" s="21">
        <v>0</v>
      </c>
      <c r="E22" s="48">
        <f>Coûts!$E$35</f>
        <v>80</v>
      </c>
      <c r="F22" s="19">
        <f>D22*E22</f>
        <v>0</v>
      </c>
    </row>
    <row r="23" spans="1:6" ht="13.5" thickBot="1">
      <c r="A23" s="16"/>
      <c r="B23" s="16" t="s">
        <v>66</v>
      </c>
      <c r="C23" s="16"/>
      <c r="D23" s="21">
        <v>20</v>
      </c>
      <c r="E23" s="48">
        <f>Coûts!$E$36</f>
        <v>27</v>
      </c>
      <c r="F23" s="19">
        <f t="shared" si="0"/>
        <v>540</v>
      </c>
    </row>
    <row r="24" spans="1:6" ht="13.5" thickBot="1">
      <c r="A24" s="16"/>
      <c r="B24" s="16" t="s">
        <v>64</v>
      </c>
      <c r="C24" s="16"/>
      <c r="D24" s="21">
        <v>10</v>
      </c>
      <c r="E24" s="48">
        <f>Coûts!$E$34</f>
        <v>15</v>
      </c>
      <c r="F24" s="19">
        <f>D24*E24</f>
        <v>150</v>
      </c>
    </row>
    <row r="25" spans="1:6" ht="13.5" thickBot="1">
      <c r="A25" s="16" t="s">
        <v>42</v>
      </c>
      <c r="B25" s="46" t="s">
        <v>67</v>
      </c>
      <c r="C25" s="16"/>
      <c r="D25" s="21">
        <v>30</v>
      </c>
      <c r="E25" s="48">
        <f>Coûts!$E$38</f>
        <v>35</v>
      </c>
      <c r="F25" s="19">
        <f t="shared" si="0"/>
        <v>1050</v>
      </c>
    </row>
    <row r="26" spans="1:6" ht="15.75" customHeight="1" thickBot="1">
      <c r="A26" s="96" t="s">
        <v>93</v>
      </c>
      <c r="B26" s="20"/>
      <c r="C26" s="82"/>
      <c r="D26" s="82"/>
      <c r="E26" s="83"/>
      <c r="F26" s="84">
        <f>SUM(F16:F25)</f>
        <v>3541</v>
      </c>
    </row>
    <row r="27" spans="1:6" ht="9.75" customHeight="1" thickBot="1">
      <c r="A27" s="16"/>
      <c r="B27" s="16"/>
      <c r="C27" s="16"/>
      <c r="D27" s="16"/>
      <c r="E27" s="16"/>
      <c r="F27" s="52"/>
    </row>
    <row r="28" spans="1:6" ht="13.5" thickBot="1">
      <c r="A28" s="82" t="s">
        <v>44</v>
      </c>
      <c r="B28" s="82"/>
      <c r="C28" s="82"/>
      <c r="D28" s="82"/>
      <c r="E28" s="83"/>
      <c r="F28" s="84">
        <f>Coûts!$E$42</f>
        <v>700</v>
      </c>
    </row>
    <row r="29" spans="1:6" ht="13.5" thickBot="1">
      <c r="A29" s="82" t="s">
        <v>132</v>
      </c>
      <c r="B29" s="82"/>
      <c r="C29" s="82"/>
      <c r="D29" s="82"/>
      <c r="E29" s="83"/>
      <c r="F29" s="84">
        <f>Coûts!$E$22</f>
        <v>48</v>
      </c>
    </row>
    <row r="30" spans="1:6" ht="14.25" customHeight="1" thickBot="1">
      <c r="A30" s="82" t="s">
        <v>57</v>
      </c>
      <c r="B30" s="82"/>
      <c r="C30" s="82"/>
      <c r="D30" s="85">
        <f>Coûts!E57/100</f>
        <v>250</v>
      </c>
      <c r="E30" s="86">
        <f>Coûts!E23</f>
        <v>0.98</v>
      </c>
      <c r="F30" s="84">
        <f>D30*E30</f>
        <v>245</v>
      </c>
    </row>
    <row r="31" spans="1:6" ht="14.25" customHeight="1" thickBot="1">
      <c r="A31" s="82" t="s">
        <v>157</v>
      </c>
      <c r="B31" s="82"/>
      <c r="C31" s="82"/>
      <c r="D31" s="87">
        <v>0.025</v>
      </c>
      <c r="E31" s="88">
        <f>IF('Valeur après développement'!F23&gt;=0,0,'Valeur après développement'!F23/2)</f>
        <v>-23627.450000000004</v>
      </c>
      <c r="F31" s="89">
        <f>(E31*D31)*-1</f>
        <v>590.6862500000001</v>
      </c>
    </row>
    <row r="32" spans="1:6" ht="12.75" customHeight="1">
      <c r="A32" s="80" t="s">
        <v>133</v>
      </c>
      <c r="B32" s="80"/>
      <c r="C32" s="80"/>
      <c r="D32" s="80"/>
      <c r="E32" s="90"/>
      <c r="F32" s="81">
        <f>F14-F26-F28-F29-F30-F31</f>
        <v>699.732083333333</v>
      </c>
    </row>
    <row r="33" spans="1:6" ht="12.75" customHeight="1" thickBot="1">
      <c r="A33" s="80" t="s">
        <v>134</v>
      </c>
      <c r="B33" s="80"/>
      <c r="C33" s="80"/>
      <c r="D33" s="80"/>
      <c r="E33" s="90"/>
      <c r="F33" s="81"/>
    </row>
    <row r="34" spans="1:6" ht="12.75" customHeight="1" thickBot="1">
      <c r="A34" s="91" t="s">
        <v>135</v>
      </c>
      <c r="B34" s="91"/>
      <c r="C34" s="91"/>
      <c r="D34" s="92">
        <f>Réalisation!$C$4</f>
        <v>100</v>
      </c>
      <c r="E34" s="65">
        <f>'Valeur après développement'!F32</f>
        <v>62</v>
      </c>
      <c r="F34" s="89">
        <f>D34*E34</f>
        <v>6200</v>
      </c>
    </row>
    <row r="35" spans="1:6" ht="12.75" customHeight="1" thickBot="1">
      <c r="A35" s="91" t="s">
        <v>158</v>
      </c>
      <c r="B35" s="91"/>
      <c r="C35" s="91"/>
      <c r="D35" s="93"/>
      <c r="E35" s="65"/>
      <c r="F35" s="89">
        <f>Coûts!E49</f>
        <v>0</v>
      </c>
    </row>
    <row r="36" spans="1:6" ht="12.75" customHeight="1" thickBot="1">
      <c r="A36" s="91" t="s">
        <v>136</v>
      </c>
      <c r="B36" s="91"/>
      <c r="C36" s="91"/>
      <c r="D36" s="93"/>
      <c r="E36" s="65"/>
      <c r="F36" s="89">
        <f>Coûts!E50</f>
        <v>200</v>
      </c>
    </row>
    <row r="37" spans="1:6" ht="12.75" customHeight="1" thickBot="1">
      <c r="A37" s="80" t="s">
        <v>137</v>
      </c>
      <c r="B37" s="80"/>
      <c r="C37" s="16"/>
      <c r="D37" s="35"/>
      <c r="E37" s="94"/>
      <c r="F37" s="95">
        <f>SUM(F32:F36)</f>
        <v>7099.732083333333</v>
      </c>
    </row>
    <row r="38" spans="1:6" ht="15.75" thickBot="1">
      <c r="A38" s="16" t="s">
        <v>94</v>
      </c>
      <c r="B38" s="16" t="s">
        <v>138</v>
      </c>
      <c r="C38" s="16"/>
      <c r="D38" s="21">
        <v>40</v>
      </c>
      <c r="E38" s="18">
        <f>Coûts!$E$44</f>
        <v>32</v>
      </c>
      <c r="F38" s="19">
        <f>D38*E38</f>
        <v>1280</v>
      </c>
    </row>
    <row r="39" spans="1:6" ht="15.75" thickBot="1">
      <c r="A39" s="16"/>
      <c r="B39" s="16" t="s">
        <v>175</v>
      </c>
      <c r="C39" s="16"/>
      <c r="D39" s="21">
        <v>12</v>
      </c>
      <c r="E39" s="18">
        <f>Coûts!$E$44</f>
        <v>32</v>
      </c>
      <c r="F39" s="19">
        <f>D39*E39</f>
        <v>384</v>
      </c>
    </row>
    <row r="40" spans="1:6" ht="13.5" thickBot="1">
      <c r="A40" s="16"/>
      <c r="B40" s="16" t="s">
        <v>39</v>
      </c>
      <c r="C40" s="16"/>
      <c r="D40" s="21">
        <v>0</v>
      </c>
      <c r="E40" s="18">
        <f>Coûts!$E$44</f>
        <v>32</v>
      </c>
      <c r="F40" s="19">
        <f>D40*E40</f>
        <v>0</v>
      </c>
    </row>
    <row r="41" spans="1:6" ht="13.5" thickBot="1">
      <c r="A41" s="16"/>
      <c r="B41" s="16" t="s">
        <v>110</v>
      </c>
      <c r="C41" s="16"/>
      <c r="D41" s="21">
        <v>10</v>
      </c>
      <c r="E41" s="18">
        <f>Coûts!$E$44</f>
        <v>32</v>
      </c>
      <c r="F41" s="19">
        <f aca="true" t="shared" si="1" ref="F41:F49">D41*E41</f>
        <v>320</v>
      </c>
    </row>
    <row r="42" spans="1:6" ht="13.5" thickBot="1">
      <c r="A42" s="16"/>
      <c r="B42" s="16" t="s">
        <v>90</v>
      </c>
      <c r="C42" s="16"/>
      <c r="D42" s="21">
        <v>20</v>
      </c>
      <c r="E42" s="18">
        <f>Coûts!$E$44</f>
        <v>32</v>
      </c>
      <c r="F42" s="19">
        <f t="shared" si="1"/>
        <v>640</v>
      </c>
    </row>
    <row r="43" spans="1:6" ht="13.5" thickBot="1">
      <c r="A43" s="16"/>
      <c r="B43" s="16" t="s">
        <v>111</v>
      </c>
      <c r="C43" s="16"/>
      <c r="D43" s="21">
        <v>10</v>
      </c>
      <c r="E43" s="18">
        <f>Coûts!$E$44</f>
        <v>32</v>
      </c>
      <c r="F43" s="19">
        <f t="shared" si="1"/>
        <v>320</v>
      </c>
    </row>
    <row r="44" spans="1:6" ht="13.5" thickBot="1">
      <c r="A44" s="16"/>
      <c r="B44" s="16" t="s">
        <v>112</v>
      </c>
      <c r="C44" s="16"/>
      <c r="D44" s="21">
        <v>10</v>
      </c>
      <c r="E44" s="18">
        <f>Coûts!$E$44</f>
        <v>32</v>
      </c>
      <c r="F44" s="19">
        <f t="shared" si="1"/>
        <v>320</v>
      </c>
    </row>
    <row r="45" spans="1:6" ht="15.75" thickBot="1">
      <c r="A45" s="16"/>
      <c r="B45" s="16" t="s">
        <v>176</v>
      </c>
      <c r="C45" s="16"/>
      <c r="D45" s="21">
        <v>0</v>
      </c>
      <c r="E45" s="18">
        <f>Coûts!$E$44</f>
        <v>32</v>
      </c>
      <c r="F45" s="19">
        <f t="shared" si="1"/>
        <v>0</v>
      </c>
    </row>
    <row r="46" spans="1:6" ht="15.75" thickBot="1">
      <c r="A46" s="16"/>
      <c r="B46" s="16" t="s">
        <v>177</v>
      </c>
      <c r="C46" s="16"/>
      <c r="D46" s="21">
        <v>40</v>
      </c>
      <c r="E46" s="18">
        <f>Coûts!$E$44</f>
        <v>32</v>
      </c>
      <c r="F46" s="19">
        <f t="shared" si="1"/>
        <v>1280</v>
      </c>
    </row>
    <row r="47" spans="1:6" ht="13.5" thickBot="1">
      <c r="A47" s="16"/>
      <c r="B47" s="16" t="str">
        <f>CONCATENATE("Transport à la cidrerie (",D4," kg)")</f>
        <v>Transport à la cidrerie (25000 kg)</v>
      </c>
      <c r="C47" s="16"/>
      <c r="D47" s="21">
        <v>12</v>
      </c>
      <c r="E47" s="18">
        <f>Coûts!$E$44</f>
        <v>32</v>
      </c>
      <c r="F47" s="19">
        <f t="shared" si="1"/>
        <v>384</v>
      </c>
    </row>
    <row r="48" spans="1:6" ht="13.5" thickBot="1">
      <c r="A48" s="16"/>
      <c r="B48" s="16" t="s">
        <v>113</v>
      </c>
      <c r="C48" s="16"/>
      <c r="D48" s="21">
        <v>10</v>
      </c>
      <c r="E48" s="18">
        <f>Coûts!$E$44</f>
        <v>32</v>
      </c>
      <c r="F48" s="19">
        <f t="shared" si="1"/>
        <v>320</v>
      </c>
    </row>
    <row r="49" spans="1:6" ht="13.5" thickBot="1">
      <c r="A49" s="16" t="s">
        <v>139</v>
      </c>
      <c r="B49" s="16" t="s">
        <v>159</v>
      </c>
      <c r="C49" s="16"/>
      <c r="D49" s="21">
        <f>(0.1)*(SUM(D38:D48))</f>
        <v>16.400000000000002</v>
      </c>
      <c r="E49" s="18">
        <f>Coûts!$E$44</f>
        <v>32</v>
      </c>
      <c r="F49" s="19">
        <f t="shared" si="1"/>
        <v>524.8000000000001</v>
      </c>
    </row>
    <row r="50" spans="1:6" ht="13.5" hidden="1" thickBot="1">
      <c r="A50" s="16"/>
      <c r="B50" s="16"/>
      <c r="C50" s="16"/>
      <c r="D50" s="20"/>
      <c r="E50" s="48"/>
      <c r="F50" s="19"/>
    </row>
    <row r="51" spans="1:6" ht="15.75" customHeight="1" thickBot="1">
      <c r="A51" s="96" t="s">
        <v>100</v>
      </c>
      <c r="B51" s="96"/>
      <c r="C51" s="20"/>
      <c r="D51" s="20">
        <f>SUM(D38:D50)</f>
        <v>180.4</v>
      </c>
      <c r="E51" s="48"/>
      <c r="F51" s="89">
        <f>SUM(F38:F49)</f>
        <v>5772.8</v>
      </c>
    </row>
    <row r="52" spans="1:6" ht="12.75" hidden="1">
      <c r="A52" s="16"/>
      <c r="B52" s="16"/>
      <c r="C52" s="16"/>
      <c r="D52" s="16"/>
      <c r="E52" s="42"/>
      <c r="F52" s="52"/>
    </row>
    <row r="53" spans="1:6" ht="12.75" hidden="1">
      <c r="A53" s="97" t="s">
        <v>0</v>
      </c>
      <c r="B53" s="97"/>
      <c r="C53" s="97"/>
      <c r="D53" s="97"/>
      <c r="E53" s="97"/>
      <c r="F53" s="98">
        <f>D51</f>
        <v>180.4</v>
      </c>
    </row>
    <row r="54" spans="1:6" ht="12.75" hidden="1">
      <c r="A54" s="97" t="s">
        <v>1</v>
      </c>
      <c r="B54" s="97"/>
      <c r="C54" s="97"/>
      <c r="D54" s="97"/>
      <c r="E54" s="99"/>
      <c r="F54" s="98">
        <f>D49</f>
        <v>16.400000000000002</v>
      </c>
    </row>
    <row r="55" spans="1:6" ht="15.75" customHeight="1">
      <c r="A55" s="167" t="s">
        <v>140</v>
      </c>
      <c r="B55" s="167"/>
      <c r="C55" s="100"/>
      <c r="D55" s="100"/>
      <c r="E55" s="101"/>
      <c r="F55" s="102">
        <f>F37/D51</f>
        <v>39.355499353288984</v>
      </c>
    </row>
    <row r="56" spans="1:6" ht="5.25" customHeight="1" thickBot="1">
      <c r="A56" s="16"/>
      <c r="B56" s="16"/>
      <c r="C56" s="16"/>
      <c r="D56" s="16"/>
      <c r="E56" s="16"/>
      <c r="F56" s="52"/>
    </row>
    <row r="57" spans="1:6" ht="17.25" customHeight="1" thickBot="1">
      <c r="A57" s="103" t="str">
        <f>CONCATENATE("Bénéfice calculé avec un salaire horaire comparable de ",TEXT(Coûts!$E$44,"0.00"),"/h")</f>
        <v>Bénéfice calculé avec un salaire horaire comparable de 32.00/h</v>
      </c>
      <c r="B57" s="103"/>
      <c r="C57" s="103"/>
      <c r="D57" s="103"/>
      <c r="E57" s="103"/>
      <c r="F57" s="132">
        <f>F37-F51</f>
        <v>1326.9320833333331</v>
      </c>
    </row>
    <row r="58" ht="3.75" customHeight="1"/>
    <row r="59" spans="1:6" ht="16.5" customHeight="1">
      <c r="A59" s="159" t="s">
        <v>72</v>
      </c>
      <c r="B59" s="159"/>
      <c r="C59" s="159"/>
      <c r="D59" s="159"/>
      <c r="E59" s="159"/>
      <c r="F59" s="159"/>
    </row>
    <row r="60" ht="19.5" customHeight="1">
      <c r="A60" t="s">
        <v>141</v>
      </c>
    </row>
  </sheetData>
  <sheetProtection password="CB5B" sheet="1"/>
  <protectedRanges>
    <protectedRange sqref="D6:D11 D31 D38:D49 D16:D25" name="Bereich1"/>
    <protectedRange sqref="C7" name="Bereich1_1"/>
    <protectedRange sqref="C8" name="Bereich1_2"/>
    <protectedRange sqref="C9" name="Bereich1_3"/>
    <protectedRange sqref="C16:C17" name="Bereich1_4"/>
  </protectedRanges>
  <mergeCells count="2">
    <mergeCell ref="A59:F59"/>
    <mergeCell ref="A55:B55"/>
  </mergeCells>
  <printOptions/>
  <pageMargins left="0.7086614173228347" right="0.7086614173228347" top="0.7874015748031497" bottom="0.7480314960629921" header="0.31496062992125984" footer="0.31496062992125984"/>
  <pageSetup fitToHeight="1" fitToWidth="1" horizontalDpi="600" verticalDpi="600" orientation="portrait" paperSize="9" scale="89" r:id="rId2"/>
  <headerFooter>
    <oddHeader>&amp;CCalculs modélisés pour l'arboriculture fruitière haute-tige biologique 2016</oddHeader>
    <oddFooter>&amp;L&amp;G&amp;C© Copyright 2016 FiBL, Frick. Tous droits réservés.</oddFooter>
  </headerFooter>
  <legacyDrawingHF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34731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Obst,Beeren</dc:title>
  <dc:subject/>
  <dc:creator>Armin MEyer</dc:creator>
  <cp:keywords/>
  <dc:description/>
  <cp:lastModifiedBy>Schmutz Res</cp:lastModifiedBy>
  <cp:lastPrinted>2016-09-19T14:16:25Z</cp:lastPrinted>
  <dcterms:created xsi:type="dcterms:W3CDTF">2003-06-17T05:36:42Z</dcterms:created>
  <dcterms:modified xsi:type="dcterms:W3CDTF">2016-09-19T19:20:32Z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file>